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  <sheet name="Зебра АМГ L" sheetId="166" r:id="rId47"/>
    <sheet name="Зебра кассета АМГ L" sheetId="167" r:id="rId48"/>
    <sheet name="Зебра кассета Double АМГ L " sheetId="168" r:id="rId49"/>
    <sheet name="Зебра кассета MONO АМГ L " sheetId="169" r:id="rId50"/>
    <sheet name="Кассета АМГ L" sheetId="170" r:id="rId51"/>
    <sheet name="Кассета Double АМГ L" sheetId="171" r:id="rId52"/>
    <sheet name="Кассета MONO АМГ L " sheetId="172" r:id="rId53"/>
    <sheet name="Классика АМГ L " sheetId="173" r:id="rId54"/>
  </sheets>
  <calcPr calcId="162913"/>
</workbook>
</file>

<file path=xl/calcChain.xml><?xml version="1.0" encoding="utf-8"?>
<calcChain xmlns="http://schemas.openxmlformats.org/spreadsheetml/2006/main">
  <c r="C58" i="173" l="1"/>
  <c r="C57" i="173"/>
  <c r="E57" i="173" s="1"/>
  <c r="C56" i="173"/>
  <c r="E56" i="173" s="1"/>
  <c r="C55" i="173"/>
  <c r="C54" i="173"/>
  <c r="C53" i="173"/>
  <c r="E53" i="173" s="1"/>
  <c r="C37" i="173"/>
  <c r="C48" i="173"/>
  <c r="E48" i="173" s="1"/>
  <c r="C39" i="173"/>
  <c r="C38" i="173"/>
  <c r="E38" i="173" s="1"/>
  <c r="E37" i="173"/>
  <c r="C36" i="173"/>
  <c r="E36" i="173" s="1"/>
  <c r="C35" i="173"/>
  <c r="C17" i="166"/>
  <c r="C27" i="173"/>
  <c r="E27" i="173" s="1"/>
  <c r="E58" i="173"/>
  <c r="E55" i="173"/>
  <c r="E54" i="173"/>
  <c r="E39" i="173"/>
  <c r="E35" i="173"/>
  <c r="C47" i="173"/>
  <c r="E47" i="173" s="1"/>
  <c r="C46" i="173"/>
  <c r="E46" i="173" s="1"/>
  <c r="C45" i="173"/>
  <c r="E45" i="173" s="1"/>
  <c r="C44" i="173"/>
  <c r="E44" i="173" s="1"/>
  <c r="C43" i="173"/>
  <c r="E43" i="173" s="1"/>
  <c r="C42" i="173"/>
  <c r="E42" i="173" s="1"/>
  <c r="C41" i="173"/>
  <c r="E41" i="173" s="1"/>
  <c r="C40" i="173"/>
  <c r="E40" i="173" s="1"/>
  <c r="C34" i="173"/>
  <c r="E34" i="173" s="1"/>
  <c r="C33" i="173"/>
  <c r="E33" i="173" s="1"/>
  <c r="C32" i="173"/>
  <c r="E32" i="173" s="1"/>
  <c r="C31" i="173"/>
  <c r="E31" i="173" s="1"/>
  <c r="C30" i="173"/>
  <c r="E30" i="173" s="1"/>
  <c r="C29" i="173"/>
  <c r="E29" i="173" s="1"/>
  <c r="C28" i="173"/>
  <c r="E28" i="173" s="1"/>
  <c r="C26" i="173"/>
  <c r="E26" i="173" s="1"/>
  <c r="C25" i="173"/>
  <c r="E25" i="173" s="1"/>
  <c r="C24" i="173"/>
  <c r="E24" i="173" s="1"/>
  <c r="C23" i="173"/>
  <c r="E23" i="173" s="1"/>
  <c r="C22" i="173"/>
  <c r="E22" i="173" s="1"/>
  <c r="C21" i="173"/>
  <c r="E21" i="173" s="1"/>
  <c r="C20" i="173"/>
  <c r="E20" i="173" s="1"/>
  <c r="C19" i="173"/>
  <c r="E19" i="173" s="1"/>
  <c r="C18" i="173"/>
  <c r="E18" i="173" s="1"/>
  <c r="C63" i="172"/>
  <c r="C62" i="172"/>
  <c r="C61" i="172"/>
  <c r="C60" i="172"/>
  <c r="C59" i="172"/>
  <c r="C58" i="172"/>
  <c r="C53" i="172"/>
  <c r="C41" i="172"/>
  <c r="E41" i="172"/>
  <c r="C40" i="172"/>
  <c r="E40" i="172" s="1"/>
  <c r="C39" i="172"/>
  <c r="E39" i="172" s="1"/>
  <c r="E38" i="172"/>
  <c r="C38" i="172"/>
  <c r="C37" i="172"/>
  <c r="E37" i="172" s="1"/>
  <c r="E59" i="173" l="1"/>
  <c r="E49" i="173"/>
  <c r="C20" i="168"/>
  <c r="C19" i="168"/>
  <c r="C22" i="171"/>
  <c r="C19" i="169"/>
  <c r="C22" i="172"/>
  <c r="E22" i="172" s="1"/>
  <c r="C18" i="169"/>
  <c r="C21" i="172"/>
  <c r="E21" i="172" s="1"/>
  <c r="C23" i="171"/>
  <c r="C50" i="171"/>
  <c r="E53" i="172"/>
  <c r="C52" i="172"/>
  <c r="E52" i="172" s="1"/>
  <c r="C51" i="172"/>
  <c r="E51" i="172" s="1"/>
  <c r="C50" i="172"/>
  <c r="E50" i="172" s="1"/>
  <c r="C49" i="172"/>
  <c r="E49" i="172" s="1"/>
  <c r="C48" i="172"/>
  <c r="E48" i="172" s="1"/>
  <c r="C47" i="172"/>
  <c r="E47" i="172" s="1"/>
  <c r="C46" i="172"/>
  <c r="E46" i="172" s="1"/>
  <c r="C45" i="172"/>
  <c r="E45" i="172" s="1"/>
  <c r="C44" i="172"/>
  <c r="E44" i="172" s="1"/>
  <c r="C43" i="172"/>
  <c r="E43" i="172" s="1"/>
  <c r="C42" i="172"/>
  <c r="E42" i="172" s="1"/>
  <c r="C36" i="172"/>
  <c r="E36" i="172" s="1"/>
  <c r="C35" i="172"/>
  <c r="E35" i="172" s="1"/>
  <c r="C34" i="172"/>
  <c r="E34" i="172" s="1"/>
  <c r="C33" i="172"/>
  <c r="E33" i="172" s="1"/>
  <c r="C32" i="172"/>
  <c r="E32" i="172" s="1"/>
  <c r="C31" i="172"/>
  <c r="E31" i="172" s="1"/>
  <c r="C30" i="172"/>
  <c r="E30" i="172" s="1"/>
  <c r="C29" i="172"/>
  <c r="E29" i="172" s="1"/>
  <c r="C28" i="172"/>
  <c r="E28" i="172" s="1"/>
  <c r="C27" i="172"/>
  <c r="E27" i="172" s="1"/>
  <c r="C26" i="172"/>
  <c r="E26" i="172" s="1"/>
  <c r="C25" i="172"/>
  <c r="E25" i="172" s="1"/>
  <c r="C24" i="172"/>
  <c r="E24" i="172" s="1"/>
  <c r="C23" i="172"/>
  <c r="E23" i="172" s="1"/>
  <c r="C20" i="172"/>
  <c r="E20" i="172" s="1"/>
  <c r="C19" i="172"/>
  <c r="E19" i="172" s="1"/>
  <c r="C18" i="172"/>
  <c r="E18" i="172" s="1"/>
  <c r="C61" i="171"/>
  <c r="C60" i="171"/>
  <c r="E60" i="171" s="1"/>
  <c r="C59" i="171"/>
  <c r="E59" i="171" s="1"/>
  <c r="C58" i="171"/>
  <c r="E58" i="171" s="1"/>
  <c r="C57" i="171"/>
  <c r="C56" i="171"/>
  <c r="C28" i="170"/>
  <c r="C27" i="170"/>
  <c r="C32" i="171"/>
  <c r="C38" i="171"/>
  <c r="E38" i="171" s="1"/>
  <c r="C37" i="171"/>
  <c r="E37" i="171" s="1"/>
  <c r="C36" i="171"/>
  <c r="E36" i="171" s="1"/>
  <c r="C35" i="171"/>
  <c r="E35" i="171" s="1"/>
  <c r="C34" i="171"/>
  <c r="E34" i="171" s="1"/>
  <c r="E61" i="171"/>
  <c r="E57" i="171"/>
  <c r="E56" i="171"/>
  <c r="E61" i="172" l="1"/>
  <c r="E58" i="172"/>
  <c r="E62" i="172"/>
  <c r="E59" i="172"/>
  <c r="E63" i="172"/>
  <c r="E60" i="172"/>
  <c r="E54" i="172"/>
  <c r="E62" i="171"/>
  <c r="E64" i="172" l="1"/>
  <c r="E50" i="171" l="1"/>
  <c r="C49" i="171"/>
  <c r="E49" i="171" s="1"/>
  <c r="C48" i="171"/>
  <c r="E48" i="171" s="1"/>
  <c r="C47" i="171"/>
  <c r="E47" i="171" s="1"/>
  <c r="C46" i="171"/>
  <c r="E46" i="171" s="1"/>
  <c r="C45" i="171"/>
  <c r="E45" i="171" s="1"/>
  <c r="C44" i="171"/>
  <c r="E44" i="171" s="1"/>
  <c r="C43" i="171"/>
  <c r="E43" i="171" s="1"/>
  <c r="C42" i="171"/>
  <c r="E42" i="171" s="1"/>
  <c r="C41" i="171"/>
  <c r="E41" i="171" s="1"/>
  <c r="C40" i="171"/>
  <c r="E40" i="171" s="1"/>
  <c r="C39" i="171"/>
  <c r="E39" i="171" s="1"/>
  <c r="C33" i="171"/>
  <c r="E33" i="171" s="1"/>
  <c r="E32" i="171"/>
  <c r="C31" i="171"/>
  <c r="E31" i="171" s="1"/>
  <c r="C30" i="171"/>
  <c r="E30" i="171" s="1"/>
  <c r="C29" i="171"/>
  <c r="E29" i="171" s="1"/>
  <c r="C28" i="171"/>
  <c r="E28" i="171" s="1"/>
  <c r="C27" i="171"/>
  <c r="E27" i="171" s="1"/>
  <c r="C26" i="171"/>
  <c r="E26" i="171" s="1"/>
  <c r="C25" i="171"/>
  <c r="E25" i="171" s="1"/>
  <c r="C24" i="171"/>
  <c r="E24" i="171" s="1"/>
  <c r="E23" i="171"/>
  <c r="E22" i="171"/>
  <c r="C21" i="171"/>
  <c r="E21" i="171" s="1"/>
  <c r="C20" i="171"/>
  <c r="E20" i="171" s="1"/>
  <c r="C19" i="171"/>
  <c r="E19" i="171" s="1"/>
  <c r="C56" i="170"/>
  <c r="C55" i="170"/>
  <c r="C54" i="170"/>
  <c r="C53" i="170"/>
  <c r="C52" i="170"/>
  <c r="C51" i="170"/>
  <c r="E46" i="170"/>
  <c r="E45" i="170"/>
  <c r="E44" i="170"/>
  <c r="E43" i="170"/>
  <c r="E42" i="170"/>
  <c r="E41" i="170"/>
  <c r="E40" i="170"/>
  <c r="E39" i="170"/>
  <c r="E38" i="170"/>
  <c r="E37" i="170"/>
  <c r="E36" i="170"/>
  <c r="E35" i="170"/>
  <c r="E34" i="170"/>
  <c r="E33" i="170"/>
  <c r="E32" i="170"/>
  <c r="E31" i="170"/>
  <c r="E30" i="170"/>
  <c r="E29" i="170"/>
  <c r="E28" i="170"/>
  <c r="E27" i="170"/>
  <c r="E26" i="170"/>
  <c r="E25" i="170"/>
  <c r="E24" i="170"/>
  <c r="E22" i="170"/>
  <c r="E21" i="170"/>
  <c r="E20" i="170"/>
  <c r="E19" i="170"/>
  <c r="E18" i="170"/>
  <c r="E17" i="170"/>
  <c r="C36" i="170"/>
  <c r="C35" i="170"/>
  <c r="C34" i="170"/>
  <c r="C33" i="170"/>
  <c r="C32" i="170"/>
  <c r="C25" i="170"/>
  <c r="C26" i="170"/>
  <c r="E51" i="171" l="1"/>
  <c r="C46" i="170" l="1"/>
  <c r="E56" i="170"/>
  <c r="E55" i="170"/>
  <c r="E54" i="170"/>
  <c r="E53" i="170"/>
  <c r="E52" i="170"/>
  <c r="E51" i="170"/>
  <c r="C45" i="170"/>
  <c r="C44" i="170"/>
  <c r="C43" i="170"/>
  <c r="C42" i="170"/>
  <c r="C41" i="170"/>
  <c r="C40" i="170"/>
  <c r="C39" i="170"/>
  <c r="C38" i="170"/>
  <c r="C37" i="170"/>
  <c r="C31" i="170"/>
  <c r="C30" i="170"/>
  <c r="C29" i="170"/>
  <c r="C24" i="170"/>
  <c r="C23" i="170"/>
  <c r="E23" i="170" s="1"/>
  <c r="C22" i="170"/>
  <c r="C21" i="170"/>
  <c r="C20" i="170"/>
  <c r="C19" i="170"/>
  <c r="C18" i="170"/>
  <c r="C17" i="170"/>
  <c r="E57" i="170" l="1"/>
  <c r="E47" i="170"/>
  <c r="C55" i="169" l="1"/>
  <c r="C54" i="169"/>
  <c r="C53" i="169"/>
  <c r="C52" i="169"/>
  <c r="C51" i="169"/>
  <c r="C50" i="169"/>
  <c r="C45" i="169"/>
  <c r="E45" i="169" s="1"/>
  <c r="C36" i="169"/>
  <c r="C35" i="169"/>
  <c r="C34" i="169"/>
  <c r="C33" i="169"/>
  <c r="C32" i="169"/>
  <c r="C30" i="169"/>
  <c r="C16" i="169"/>
  <c r="E16" i="169" s="1"/>
  <c r="C33" i="168"/>
  <c r="C32" i="168"/>
  <c r="C31" i="168"/>
  <c r="C44" i="169"/>
  <c r="E44" i="169" s="1"/>
  <c r="C43" i="169"/>
  <c r="E43" i="169" s="1"/>
  <c r="C42" i="169"/>
  <c r="E42" i="169" s="1"/>
  <c r="C41" i="169"/>
  <c r="E41" i="169" s="1"/>
  <c r="C40" i="169"/>
  <c r="E40" i="169" s="1"/>
  <c r="C39" i="169"/>
  <c r="E39" i="169" s="1"/>
  <c r="C38" i="169"/>
  <c r="E38" i="169" s="1"/>
  <c r="C37" i="169"/>
  <c r="E37" i="169" s="1"/>
  <c r="C31" i="169"/>
  <c r="E31" i="169" s="1"/>
  <c r="E30" i="169"/>
  <c r="C29" i="169"/>
  <c r="E29" i="169" s="1"/>
  <c r="C28" i="169"/>
  <c r="E28" i="169" s="1"/>
  <c r="C27" i="169"/>
  <c r="E27" i="169" s="1"/>
  <c r="C26" i="169"/>
  <c r="E26" i="169" s="1"/>
  <c r="C25" i="169"/>
  <c r="E25" i="169" s="1"/>
  <c r="C24" i="169"/>
  <c r="E55" i="169" s="1"/>
  <c r="C23" i="169"/>
  <c r="E23" i="169" s="1"/>
  <c r="C22" i="169"/>
  <c r="E22" i="169" s="1"/>
  <c r="C21" i="169"/>
  <c r="E21" i="169" s="1"/>
  <c r="C20" i="169"/>
  <c r="E20" i="169" s="1"/>
  <c r="E19" i="169"/>
  <c r="E18" i="169"/>
  <c r="C17" i="169"/>
  <c r="E17" i="169" s="1"/>
  <c r="C49" i="168"/>
  <c r="E50" i="169" l="1"/>
  <c r="E52" i="169"/>
  <c r="E53" i="169"/>
  <c r="E54" i="169"/>
  <c r="E24" i="169"/>
  <c r="E46" i="169" s="1"/>
  <c r="E51" i="169"/>
  <c r="E56" i="169" l="1"/>
  <c r="C48" i="168" l="1"/>
  <c r="E48" i="168" s="1"/>
  <c r="E49" i="168"/>
  <c r="C50" i="168"/>
  <c r="E50" i="168" s="1"/>
  <c r="C51" i="168"/>
  <c r="E51" i="168" s="1"/>
  <c r="C52" i="168"/>
  <c r="E52" i="168" s="1"/>
  <c r="C53" i="168"/>
  <c r="E53" i="168" s="1"/>
  <c r="C42" i="168"/>
  <c r="C35" i="168"/>
  <c r="C37" i="167"/>
  <c r="C34" i="168"/>
  <c r="C43" i="168"/>
  <c r="E43" i="168" s="1"/>
  <c r="E42" i="168"/>
  <c r="C41" i="168"/>
  <c r="E41" i="168" s="1"/>
  <c r="C40" i="168"/>
  <c r="E40" i="168" s="1"/>
  <c r="C39" i="168"/>
  <c r="E39" i="168" s="1"/>
  <c r="C38" i="168"/>
  <c r="E38" i="168" s="1"/>
  <c r="C37" i="168"/>
  <c r="E37" i="168" s="1"/>
  <c r="C36" i="168"/>
  <c r="E36" i="168" s="1"/>
  <c r="C30" i="168"/>
  <c r="E30" i="168" s="1"/>
  <c r="C29" i="168"/>
  <c r="E29" i="168" s="1"/>
  <c r="C28" i="168"/>
  <c r="E28" i="168" s="1"/>
  <c r="C27" i="168"/>
  <c r="E27" i="168" s="1"/>
  <c r="C26" i="168"/>
  <c r="E26" i="168" s="1"/>
  <c r="C25" i="168"/>
  <c r="E25" i="168" s="1"/>
  <c r="C24" i="168"/>
  <c r="E24" i="168" s="1"/>
  <c r="C23" i="168"/>
  <c r="E23" i="168" s="1"/>
  <c r="C22" i="168"/>
  <c r="E22" i="168" s="1"/>
  <c r="C21" i="168"/>
  <c r="E21" i="168" s="1"/>
  <c r="E20" i="168"/>
  <c r="E19" i="168"/>
  <c r="C18" i="168"/>
  <c r="E18" i="168" s="1"/>
  <c r="C17" i="168"/>
  <c r="E17" i="168" s="1"/>
  <c r="C44" i="167"/>
  <c r="C43" i="167"/>
  <c r="E54" i="168" l="1"/>
  <c r="E44" i="168"/>
  <c r="C48" i="167" l="1"/>
  <c r="E48" i="167" s="1"/>
  <c r="C47" i="167"/>
  <c r="C46" i="167"/>
  <c r="C45" i="167"/>
  <c r="E44" i="167"/>
  <c r="C39" i="167"/>
  <c r="C38" i="167"/>
  <c r="C36" i="167"/>
  <c r="C35" i="167"/>
  <c r="C34" i="167"/>
  <c r="C33" i="167"/>
  <c r="C32" i="167"/>
  <c r="C31" i="167"/>
  <c r="C30" i="167"/>
  <c r="C29" i="167"/>
  <c r="C28" i="167"/>
  <c r="C27" i="167"/>
  <c r="C26" i="167"/>
  <c r="C25" i="167"/>
  <c r="C24" i="167"/>
  <c r="C23" i="167"/>
  <c r="C22" i="167"/>
  <c r="C21" i="167"/>
  <c r="C20" i="167"/>
  <c r="C19" i="167"/>
  <c r="C18" i="167"/>
  <c r="C17" i="167"/>
  <c r="C16" i="167"/>
  <c r="C15" i="167"/>
  <c r="E47" i="167"/>
  <c r="E46" i="167"/>
  <c r="E45" i="167"/>
  <c r="E43" i="167"/>
  <c r="E40" i="167"/>
  <c r="C42" i="166"/>
  <c r="C46" i="166"/>
  <c r="C45" i="166"/>
  <c r="C44" i="166"/>
  <c r="C43" i="166"/>
  <c r="C41" i="166"/>
  <c r="C36" i="166"/>
  <c r="C35" i="166"/>
  <c r="C34" i="166"/>
  <c r="C33" i="166"/>
  <c r="C32" i="166"/>
  <c r="C31" i="166"/>
  <c r="C30" i="166"/>
  <c r="C29" i="166"/>
  <c r="C28" i="166"/>
  <c r="C27" i="166"/>
  <c r="C26" i="166"/>
  <c r="C25" i="166"/>
  <c r="C24" i="166"/>
  <c r="C23" i="166"/>
  <c r="C22" i="166"/>
  <c r="C21" i="166"/>
  <c r="C20" i="166"/>
  <c r="C19" i="166"/>
  <c r="C18" i="166"/>
  <c r="C16" i="166"/>
  <c r="C15" i="166"/>
  <c r="C14" i="166"/>
  <c r="C42" i="125"/>
  <c r="C37" i="125"/>
  <c r="E49" i="167" l="1"/>
  <c r="E34" i="166"/>
  <c r="E46" i="166"/>
  <c r="E45" i="166"/>
  <c r="E44" i="166"/>
  <c r="E43" i="166"/>
  <c r="E42" i="166"/>
  <c r="E41" i="166"/>
  <c r="E36" i="166"/>
  <c r="E35" i="166"/>
  <c r="E33" i="166"/>
  <c r="E32" i="166"/>
  <c r="E31" i="166"/>
  <c r="E30" i="166"/>
  <c r="E29" i="166"/>
  <c r="E28" i="166"/>
  <c r="E27" i="166"/>
  <c r="E26" i="166"/>
  <c r="E25" i="166"/>
  <c r="E24" i="166"/>
  <c r="E23" i="166"/>
  <c r="E22" i="166"/>
  <c r="E21" i="166"/>
  <c r="E20" i="166"/>
  <c r="E19" i="166"/>
  <c r="E18" i="166"/>
  <c r="E17" i="166"/>
  <c r="E16" i="166"/>
  <c r="E15" i="166"/>
  <c r="E14" i="166"/>
  <c r="D35" i="165"/>
  <c r="D33" i="165"/>
  <c r="D32" i="165"/>
  <c r="D30" i="165"/>
  <c r="D27" i="165"/>
  <c r="D25" i="165"/>
  <c r="D24" i="165"/>
  <c r="B27" i="165"/>
  <c r="B26" i="165"/>
  <c r="D26" i="165" s="1"/>
  <c r="B25" i="165"/>
  <c r="B24" i="165"/>
  <c r="B23" i="165"/>
  <c r="D23" i="165" s="1"/>
  <c r="E47" i="166" l="1"/>
  <c r="E37" i="166"/>
  <c r="C45" i="146"/>
  <c r="C44" i="146"/>
  <c r="C32" i="128" l="1"/>
  <c r="C33" i="128"/>
  <c r="C31" i="128"/>
  <c r="B30" i="120" l="1"/>
  <c r="B28" i="118"/>
  <c r="B27" i="118"/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6" i="165"/>
  <c r="D36" i="165" s="1"/>
  <c r="B34" i="165"/>
  <c r="D34" i="165" s="1"/>
  <c r="B31" i="165"/>
  <c r="D31" i="165" s="1"/>
  <c r="B22" i="165"/>
  <c r="D22" i="165" s="1"/>
  <c r="B20" i="165"/>
  <c r="D20" i="165" s="1"/>
  <c r="B21" i="165"/>
  <c r="D21" i="165" s="1"/>
  <c r="B19" i="165"/>
  <c r="D19" i="165" s="1"/>
  <c r="B17" i="165"/>
  <c r="D17" i="165" s="1"/>
  <c r="B16" i="165"/>
  <c r="D16" i="165" s="1"/>
  <c r="B13" i="165"/>
  <c r="D13" i="165" s="1"/>
  <c r="B12" i="165"/>
  <c r="D12" i="165" s="1"/>
  <c r="B11" i="165"/>
  <c r="D11" i="165" s="1"/>
  <c r="B18" i="165"/>
  <c r="D18" i="165" s="1"/>
  <c r="B10" i="165"/>
  <c r="D10" i="165" s="1"/>
  <c r="B28" i="165"/>
  <c r="D28" i="165" s="1"/>
  <c r="B15" i="165"/>
  <c r="D15" i="165" s="1"/>
  <c r="B14" i="165"/>
  <c r="D14" i="165" s="1"/>
  <c r="C40" i="129" l="1"/>
  <c r="C39" i="129"/>
  <c r="B19" i="164" l="1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B37" i="56"/>
  <c r="D37" i="56" s="1"/>
  <c r="B36" i="56"/>
  <c r="D36" i="56" s="1"/>
  <c r="B35" i="56"/>
  <c r="D35" i="56" s="1"/>
  <c r="B34" i="56"/>
  <c r="D34" i="56" s="1"/>
  <c r="B33" i="56"/>
  <c r="D33" i="56" s="1"/>
  <c r="B32" i="56"/>
  <c r="D32" i="56" s="1"/>
  <c r="B31" i="56"/>
  <c r="D31" i="56" s="1"/>
  <c r="B29" i="56"/>
  <c r="D29" i="56" s="1"/>
  <c r="B28" i="56"/>
  <c r="B30" i="56" s="1"/>
  <c r="D30" i="56" s="1"/>
  <c r="B27" i="56"/>
  <c r="D27" i="56" s="1"/>
  <c r="B26" i="56"/>
  <c r="D26" i="56" s="1"/>
  <c r="D25" i="56"/>
  <c r="B25" i="56"/>
  <c r="B24" i="56"/>
  <c r="D24" i="56" s="1"/>
  <c r="B23" i="56"/>
  <c r="D23" i="56" s="1"/>
  <c r="B22" i="56"/>
  <c r="B20" i="56" s="1"/>
  <c r="D20" i="56" s="1"/>
  <c r="B21" i="56"/>
  <c r="B19" i="56" s="1"/>
  <c r="D19" i="56" s="1"/>
  <c r="B18" i="56"/>
  <c r="D18" i="56" s="1"/>
  <c r="D22" i="56" l="1"/>
  <c r="D28" i="56"/>
  <c r="D41" i="56"/>
  <c r="D21" i="56"/>
  <c r="D50" i="56" l="1"/>
  <c r="C45" i="163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0" i="125"/>
  <c r="C39" i="125"/>
  <c r="C38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5" i="118" l="1"/>
  <c r="B24" i="118"/>
  <c r="B23" i="118"/>
  <c r="D23" i="118" s="1"/>
  <c r="B22" i="118"/>
  <c r="B19" i="118"/>
  <c r="B18" i="118"/>
  <c r="B16" i="118"/>
  <c r="B15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E31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E45" i="146"/>
  <c r="E44" i="146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1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39" i="120"/>
  <c r="D56" i="121" l="1"/>
  <c r="B35" i="120"/>
  <c r="D35" i="120" s="1"/>
  <c r="B26" i="120" l="1"/>
  <c r="B25" i="120"/>
  <c r="B33" i="120"/>
  <c r="B27" i="120"/>
  <c r="D27" i="120" s="1"/>
  <c r="B19" i="120"/>
  <c r="B40" i="120" l="1"/>
  <c r="D40" i="120" s="1"/>
  <c r="D39" i="120"/>
  <c r="B38" i="120"/>
  <c r="D38" i="120" s="1"/>
  <c r="D37" i="120"/>
  <c r="B36" i="120"/>
  <c r="D36" i="120" s="1"/>
  <c r="B34" i="120"/>
  <c r="D34" i="120" s="1"/>
  <c r="D33" i="120"/>
  <c r="B28" i="120"/>
  <c r="D28" i="120" s="1"/>
  <c r="D19" i="120"/>
  <c r="B9" i="120"/>
  <c r="B32" i="120" s="1"/>
  <c r="D32" i="120" s="1"/>
  <c r="D30" i="120" l="1"/>
  <c r="B29" i="120"/>
  <c r="D29" i="120" s="1"/>
  <c r="B18" i="120"/>
  <c r="D18" i="120" s="1"/>
  <c r="B24" i="120"/>
  <c r="D24" i="120" s="1"/>
  <c r="B20" i="120"/>
  <c r="D20" i="120" s="1"/>
  <c r="B23" i="120"/>
  <c r="D23" i="120" s="1"/>
  <c r="D31" i="120"/>
  <c r="B22" i="120"/>
  <c r="D22" i="120" s="1"/>
  <c r="D25" i="120"/>
  <c r="D26" i="120"/>
  <c r="B21" i="120"/>
  <c r="D21" i="120" s="1"/>
  <c r="B32" i="119"/>
  <c r="D32" i="119" s="1"/>
  <c r="B24" i="119"/>
  <c r="D24" i="119" s="1"/>
  <c r="B23" i="119"/>
  <c r="D23" i="119" s="1"/>
  <c r="D41" i="120" l="1"/>
  <c r="B26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3" i="118"/>
  <c r="D34" i="118"/>
  <c r="B36" i="118"/>
  <c r="D36" i="118" s="1"/>
  <c r="B35" i="118"/>
  <c r="D35" i="118" s="1"/>
  <c r="B34" i="118"/>
  <c r="B32" i="118"/>
  <c r="D32" i="118" s="1"/>
  <c r="B30" i="118"/>
  <c r="D30" i="118" s="1"/>
  <c r="B29" i="118"/>
  <c r="D29" i="118" s="1"/>
  <c r="D28" i="118"/>
  <c r="D36" i="119" l="1"/>
  <c r="D16" i="118"/>
  <c r="D27" i="118" l="1"/>
  <c r="B31" i="118"/>
  <c r="D31" i="118" s="1"/>
  <c r="B21" i="118"/>
  <c r="D21" i="118" s="1"/>
  <c r="B20" i="118"/>
  <c r="D20" i="118" s="1"/>
  <c r="D19" i="118"/>
  <c r="B17" i="118"/>
  <c r="D17" i="118" s="1"/>
  <c r="D22" i="118"/>
  <c r="D15" i="118"/>
  <c r="D26" i="118"/>
  <c r="D18" i="118"/>
  <c r="D37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<sst xmlns="http://schemas.openxmlformats.org/spreadsheetml/2006/main" count="4072" uniqueCount="994">
  <si>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</si>
  <si>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</si>
  <si>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</si>
  <si>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</si>
  <si>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</si>
  <si>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</si>
  <si>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</si>
  <si>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</si>
  <si>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</si>
  <si>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</si>
  <si>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</si>
  <si>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</si>
  <si>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</si>
  <si>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</si>
  <si>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</si>
  <si>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</si>
  <si>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</si>
  <si>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</si>
  <si>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</si>
  <si>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</si>
  <si>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</si>
  <si>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</si>
  <si>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</si>
  <si>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</si>
  <si>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</si>
  <si>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</si>
  <si>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</si>
  <si>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</si>
  <si>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</si>
  <si>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</si>
  <si>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</si>
  <si>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</si>
  <si>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</si>
  <si>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</si>
  <si>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</si>
  <si>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</si>
  <si>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</si>
  <si>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</si>
  <si>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</si>
  <si>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</si>
  <si>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</si>
  <si>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</si>
  <si>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</si>
  <si>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</si>
  <si>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</si>
  <si>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</si>
  <si>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</si>
  <si>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</si>
  <si>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</si>
  <si>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</si>
  <si>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</si>
  <si>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</si>
  <si>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</si>
  <si>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</si>
  <si>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</si>
  <si>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</si>
  <si>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</si>
  <si>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</si>
  <si>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</si>
  <si>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</si>
  <si>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</si>
  <si>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</si>
  <si>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</si>
  <si>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</si>
  <si>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</si>
  <si>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</si>
  <si>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</si>
  <si>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</si>
  <si>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</si>
  <si>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</si>
  <si>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</si>
  <si>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</si>
  <si>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</si>
  <si>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</si>
  <si>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</si>
  <si>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</si>
  <si>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</si>
  <si>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</si>
  <si>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</si>
  <si>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</si>
  <si>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</si>
  <si>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</si>
  <si>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</si>
  <si>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</si>
  <si>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</si>
  <si>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</si>
  <si>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</si>
  <si>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</si>
  <si>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</si>
  <si>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</si>
  <si>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</si>
  <si>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</si>
  <si>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</si>
  <si>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</si>
  <si>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</si>
  <si>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</si>
  <si>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</si>
  <si>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</si>
  <si>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</si>
  <si>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</si>
  <si>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</si>
  <si>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</si>
  <si>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</si>
  <si>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</si>
  <si>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</si>
  <si>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</si>
  <si>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</si>
  <si>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</si>
  <si>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</si>
  <si>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</si>
  <si>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</si>
  <si>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</si>
  <si>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</si>
  <si>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</si>
  <si>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</si>
  <si>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</si>
  <si>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</si>
  <si>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</si>
  <si>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</si>
  <si>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</si>
  <si>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</si>
  <si>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</si>
  <si>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</si>
  <si>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</si>
  <si>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</si>
  <si>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</si>
  <si>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</si>
  <si>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</si>
  <si>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</si>
  <si>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</si>
  <si>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</si>
  <si>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</si>
  <si>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</si>
  <si>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</si>
  <si>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</si>
  <si>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</si>
  <si>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</si>
  <si>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</si>
  <si>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</si>
  <si>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</si>
  <si>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</si>
  <si>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</si>
  <si>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</si>
  <si>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</si>
  <si>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</si>
  <si>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</si>
  <si>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</si>
  <si>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</si>
  <si>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</si>
  <si>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</si>
  <si>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</si>
  <si>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</si>
  <si>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</si>
  <si>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</si>
  <si>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</si>
  <si>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</si>
  <si>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</si>
  <si>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</si>
  <si>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</si>
  <si>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</si>
  <si>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</si>
  <si>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</si>
  <si>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</si>
  <si>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</si>
  <si>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</si>
  <si>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</si>
  <si>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</si>
  <si>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</si>
  <si>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</si>
  <si>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</si>
  <si>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</si>
  <si>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</si>
  <si>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</si>
  <si>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</si>
  <si>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</si>
  <si>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</si>
  <si>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</si>
  <si>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</si>
  <si>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</si>
  <si>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</si>
  <si>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</si>
  <si>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</si>
  <si>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</si>
  <si>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</si>
  <si>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</si>
  <si>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</si>
  <si>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</si>
  <si>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</si>
  <si>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</si>
  <si>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</si>
  <si>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</si>
  <si>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</si>
  <si>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</si>
  <si>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</si>
  <si>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</si>
  <si>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</si>
  <si>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</si>
  <si>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</si>
  <si>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</si>
  <si>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</si>
  <si>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</si>
  <si>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</si>
  <si>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</si>
  <si>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</si>
  <si>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</si>
  <si>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</si>
  <si>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</si>
  <si>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</si>
  <si>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</si>
  <si>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</si>
  <si>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</si>
  <si>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</si>
  <si>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</si>
  <si>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</si>
  <si>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</si>
  <si>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</si>
  <si>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</si>
  <si>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</si>
  <si>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</si>
  <si>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</si>
  <si>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</si>
  <si>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</si>
  <si>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</si>
  <si>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</si>
  <si>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</si>
  <si>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</si>
  <si>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</si>
  <si>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</si>
  <si>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</si>
  <si>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</si>
  <si>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</si>
  <si>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</si>
  <si>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</si>
  <si>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</si>
  <si>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</si>
  <si>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</si>
  <si>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</si>
  <si>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</si>
  <si>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</si>
  <si>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</si>
  <si>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</si>
  <si>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</si>
  <si>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</si>
  <si>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</si>
  <si>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</si>
  <si>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</si>
  <si>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</si>
  <si>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</si>
  <si>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</si>
  <si>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</si>
  <si>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</si>
  <si>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</si>
  <si>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</si>
  <si>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</si>
  <si>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</si>
  <si>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</si>
  <si>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</si>
  <si>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</si>
  <si>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</si>
  <si>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</si>
  <si>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</si>
  <si>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</si>
  <si>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</si>
  <si>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</si>
  <si>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</si>
  <si>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</si>
  <si>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</si>
  <si>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</si>
  <si>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</si>
  <si>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</si>
  <si>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</si>
  <si>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</si>
  <si>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</si>
  <si>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</si>
  <si>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</si>
  <si>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</si>
  <si>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</si>
  <si>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</si>
  <si>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</si>
  <si>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</si>
  <si>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</si>
  <si>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</si>
  <si>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</si>
  <si>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</si>
  <si>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</si>
  <si>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</si>
  <si>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</si>
  <si>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</si>
  <si>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</si>
  <si>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</si>
  <si>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</si>
  <si>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</si>
  <si>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</si>
  <si>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</si>
  <si>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</si>
  <si>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</si>
  <si>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</si>
  <si>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</si>
  <si>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</si>
  <si>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</si>
  <si>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</si>
  <si>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</si>
  <si>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</si>
  <si>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</si>
  <si>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</si>
  <si>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</si>
  <si>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</si>
  <si>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</si>
  <si>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</si>
  <si>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</si>
  <si>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</si>
  <si>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</si>
  <si>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</si>
  <si>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</si>
  <si>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</si>
  <si>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</si>
  <si>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</si>
  <si>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</si>
  <si>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</si>
  <si>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</si>
  <si>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</si>
  <si>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</si>
  <si>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</si>
  <si>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</si>
  <si>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</si>
  <si>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</si>
  <si>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</si>
  <si>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</si>
  <si>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</si>
  <si>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</si>
  <si>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</si>
  <si>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</si>
  <si>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</si>
  <si>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</si>
  <si>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</si>
  <si>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</si>
  <si>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</si>
  <si>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</si>
  <si>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</si>
  <si>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</si>
  <si>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</si>
  <si>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</si>
  <si>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</si>
  <si>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</si>
  <si>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</si>
  <si>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</si>
  <si>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</si>
  <si>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</si>
  <si>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</si>
  <si>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</si>
  <si>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</si>
  <si>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</si>
  <si>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</si>
  <si>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</si>
  <si>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</si>
  <si>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</si>
  <si>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</si>
  <si>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</si>
  <si>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</si>
  <si>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</si>
  <si>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</si>
  <si>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</si>
  <si>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</si>
  <si>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</si>
  <si>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</si>
  <si>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</si>
  <si>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</si>
  <si>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</si>
  <si>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</si>
  <si>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</si>
  <si>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</si>
  <si>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</si>
  <si>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</si>
  <si>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</si>
  <si>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</si>
  <si>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</si>
  <si>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</si>
  <si>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</si>
  <si>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</si>
  <si>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</si>
  <si>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</si>
  <si>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</si>
  <si>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</si>
  <si>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</si>
  <si>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</si>
  <si>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</si>
  <si>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</si>
  <si>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</si>
  <si>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</si>
  <si>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</si>
  <si>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</si>
  <si>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</si>
  <si>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</si>
  <si>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</si>
  <si>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</si>
  <si>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</si>
  <si>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</si>
  <si>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</si>
  <si>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</si>
  <si>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</si>
  <si>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</si>
  <si>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</si>
  <si>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</si>
  <si>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</si>
  <si>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</si>
  <si>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</si>
  <si>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</si>
  <si>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</si>
  <si>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</si>
  <si>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</si>
  <si>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</si>
  <si>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</si>
  <si>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</si>
  <si>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</si>
  <si>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</si>
  <si>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</si>
  <si>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</si>
  <si>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</si>
  <si>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</si>
  <si>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</si>
  <si>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</si>
  <si>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</si>
  <si>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</si>
  <si>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</si>
  <si>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</si>
  <si>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</si>
  <si>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</si>
  <si>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</si>
  <si>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</si>
  <si>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</si>
  <si>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</si>
  <si>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</si>
  <si>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</si>
  <si>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</si>
  <si>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</si>
  <si>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</si>
  <si>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</si>
  <si>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</si>
  <si>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</si>
  <si>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</si>
  <si>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</si>
  <si>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</si>
  <si>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</si>
  <si>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</si>
  <si>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</si>
  <si>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</si>
  <si>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</si>
  <si>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</si>
  <si>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</si>
  <si>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</si>
  <si>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</si>
  <si>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</si>
  <si>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</si>
  <si>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</si>
  <si>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</si>
  <si>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</si>
  <si>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</si>
  <si>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</si>
  <si>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</si>
  <si>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</si>
  <si>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</si>
  <si>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</si>
  <si>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</si>
  <si>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</si>
  <si>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</si>
  <si>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</si>
  <si>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</si>
  <si>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</si>
  <si>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</si>
  <si>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</si>
  <si>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</si>
  <si>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</si>
  <si>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</si>
  <si>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</si>
  <si>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</si>
  <si>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</si>
  <si>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</si>
  <si>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</si>
  <si>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</si>
  <si>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</si>
  <si>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</si>
  <si>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</si>
  <si>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</si>
  <si>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</si>
  <si>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</si>
  <si>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</si>
  <si>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</si>
  <si>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</si>
  <si>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</si>
  <si>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</si>
  <si>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</si>
  <si>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</si>
  <si>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</si>
  <si>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</si>
  <si>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</si>
  <si>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</si>
  <si>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</si>
  <si>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</si>
  <si>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</si>
  <si>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</si>
  <si>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</si>
  <si>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</si>
  <si>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</si>
  <si>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</si>
  <si>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</si>
  <si>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</si>
  <si>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</si>
  <si>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</si>
  <si>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</si>
  <si>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</si>
  <si>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</si>
  <si>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</si>
  <si>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</si>
  <si>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</si>
  <si>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</si>
  <si>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</si>
  <si>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</si>
  <si>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</si>
  <si>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</si>
  <si>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</si>
  <si>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</si>
  <si>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</si>
  <si>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</si>
  <si>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</si>
  <si>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</si>
  <si>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</si>
  <si>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</si>
  <si>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</si>
  <si>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</si>
  <si>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</si>
  <si>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</si>
  <si>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</si>
  <si>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</si>
  <si>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</si>
  <si>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</si>
  <si>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</si>
  <si>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</si>
  <si>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</si>
  <si>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</si>
  <si>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</si>
  <si>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</si>
  <si>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</si>
  <si>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</si>
  <si>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</si>
  <si>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</si>
  <si>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</si>
  <si>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</si>
  <si>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</si>
  <si>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</si>
  <si>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</si>
  <si>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</si>
  <si>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</si>
  <si>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</si>
  <si>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</si>
  <si>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</si>
  <si>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</si>
  <si>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</si>
  <si>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</si>
  <si>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</si>
  <si>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</si>
  <si>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</si>
  <si>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</si>
  <si>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</si>
  <si>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</si>
  <si>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</si>
  <si>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</si>
  <si>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</si>
  <si>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</si>
  <si>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</si>
  <si>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</si>
  <si>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</si>
  <si>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</si>
  <si>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</si>
  <si>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</si>
  <si>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</si>
  <si>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</si>
  <si>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</si>
  <si>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</si>
  <si>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</si>
  <si>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</si>
  <si>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</si>
  <si>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</si>
  <si>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</si>
  <si>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</si>
  <si>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</si>
  <si>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</si>
  <si>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</si>
  <si>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</si>
  <si>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</si>
  <si>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</si>
  <si>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</si>
  <si>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</si>
  <si>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</si>
  <si>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</si>
  <si>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</si>
  <si>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</si>
  <si>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</si>
  <si>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</si>
  <si>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</si>
  <si>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</si>
  <si>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</si>
  <si>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</si>
  <si>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</si>
  <si>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</si>
  <si>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</si>
  <si>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</si>
  <si>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</si>
  <si>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</si>
  <si>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</si>
  <si>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</si>
  <si>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</si>
  <si>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</si>
  <si>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</si>
  <si>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</si>
  <si>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</si>
  <si>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</si>
  <si>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</si>
  <si>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</si>
  <si>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</si>
  <si>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</si>
  <si>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</si>
  <si>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</si>
  <si>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</si>
  <si>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</si>
  <si>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</si>
  <si>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</si>
  <si>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</si>
  <si>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</si>
  <si>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</si>
  <si>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</si>
  <si>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</si>
  <si>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</si>
  <si>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</si>
  <si>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</si>
  <si>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</si>
  <si>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</si>
  <si>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</si>
  <si>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</si>
  <si>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</si>
  <si>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</si>
  <si>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</si>
  <si>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</si>
  <si>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</si>
  <si>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</si>
  <si>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</si>
  <si>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</si>
  <si>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</si>
  <si>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</si>
  <si>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</si>
  <si>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</si>
  <si>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</si>
  <si>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</si>
  <si>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</si>
  <si>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</si>
  <si>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</si>
  <si>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</si>
  <si>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</si>
  <si>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</si>
  <si>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</si>
  <si>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</si>
  <si>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</si>
  <si>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</si>
  <si>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</si>
  <si>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</si>
  <si>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</si>
  <si>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</si>
  <si>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</si>
  <si>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</si>
  <si>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</si>
  <si>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</si>
  <si>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</si>
  <si>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</si>
  <si>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</si>
  <si>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</si>
  <si>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</si>
  <si>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</si>
  <si>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</si>
  <si>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</si>
  <si>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</si>
  <si>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</si>
  <si>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</si>
  <si>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</si>
  <si>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</si>
  <si>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</si>
  <si>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</si>
  <si>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</si>
  <si>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</si>
  <si>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</si>
  <si>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</si>
  <si>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</si>
  <si>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</si>
  <si>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</si>
  <si>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</si>
  <si>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</si>
  <si>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</si>
  <si>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</si>
  <si>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</si>
  <si>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</si>
  <si>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</si>
  <si>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</si>
  <si>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</si>
  <si>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</si>
  <si>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</si>
  <si>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</si>
  <si>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</si>
  <si>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</si>
  <si>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</si>
  <si>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</si>
  <si>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</si>
  <si>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</si>
  <si>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</si>
  <si>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</si>
  <si>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</si>
  <si>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</si>
  <si>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</si>
  <si>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</si>
  <si>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</si>
  <si>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</si>
  <si>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</si>
  <si>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</si>
  <si>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</si>
  <si>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</si>
  <si>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</si>
  <si>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</si>
  <si>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</si>
  <si>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</si>
  <si>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</si>
  <si>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</si>
  <si>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</si>
  <si>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</si>
  <si>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</si>
  <si>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</si>
  <si>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</si>
  <si>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</si>
  <si>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</si>
  <si>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</si>
  <si>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</si>
  <si>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</si>
  <si>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</si>
  <si>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</si>
  <si>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</si>
  <si>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</si>
  <si>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</si>
  <si>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</si>
  <si>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</si>
  <si>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</si>
  <si>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</si>
  <si>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</si>
  <si>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</si>
  <si>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</si>
  <si>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</si>
  <si>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</si>
  <si>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</si>
  <si>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</si>
  <si>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</si>
  <si>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</si>
  <si>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</si>
  <si>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</si>
  <si>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</si>
  <si>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</si>
  <si>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</si>
  <si>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</si>
  <si>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</si>
  <si>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</si>
  <si>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</si>
  <si>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</si>
  <si>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</si>
  <si>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</si>
  <si>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</si>
  <si>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</si>
  <si>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</si>
  <si>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</si>
  <si>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</si>
  <si>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</si>
  <si>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</si>
  <si>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</si>
  <si>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</si>
  <si>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</si>
  <si>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</si>
  <si>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</si>
  <si>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</si>
  <si>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</si>
  <si>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</si>
  <si>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</si>
  <si>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</si>
  <si>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</si>
  <si>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</si>
  <si>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</si>
  <si>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</si>
  <si>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</si>
  <si>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</si>
  <si>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</si>
  <si>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</si>
  <si>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</si>
  <si>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</si>
  <si>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</si>
  <si>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</si>
  <si>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</si>
  <si>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</si>
  <si>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</si>
  <si>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</si>
  <si>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</si>
  <si>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</si>
  <si>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</si>
  <si>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</si>
  <si>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</si>
  <si>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</si>
  <si>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</si>
  <si>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</si>
  <si>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</si>
  <si>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</si>
  <si>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</si>
  <si>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</si>
  <si>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</si>
  <si>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</si>
  <si>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</si>
  <si>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</si>
  <si>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</si>
  <si>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</si>
  <si>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</si>
  <si>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</si>
  <si>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</si>
  <si>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</si>
  <si>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</si>
  <si>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</si>
  <si>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</si>
  <si>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</si>
  <si>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</si>
  <si>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</si>
  <si>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</si>
  <si>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</si>
  <si>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</si>
  <si>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</si>
  <si>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</si>
  <si>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</si>
  <si>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</si>
  <si>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</si>
  <si>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</si>
  <si>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</si>
  <si>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</si>
  <si>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</si>
  <si>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</si>
  <si>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</si>
  <si>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</si>
  <si>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</si>
  <si>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</si>
  <si>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</si>
  <si>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</si>
  <si>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</si>
  <si>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</si>
  <si>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</si>
  <si>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</si>
  <si>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</si>
  <si>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</si>
  <si>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</si>
  <si>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</si>
  <si>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</si>
  <si>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</si>
  <si>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</si>
  <si>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</si>
  <si>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</si>
  <si>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</si>
  <si>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</si>
  <si>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</si>
  <si>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</si>
  <si>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</si>
  <si>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</si>
  <si>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</si>
  <si>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</si>
  <si>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</si>
  <si>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</si>
  <si>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</si>
  <si>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</si>
  <si>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</si>
  <si>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</si>
  <si>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</si>
  <si>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</si>
  <si>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</si>
  <si>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</si>
  <si>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</si>
  <si>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</si>
  <si>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</si>
  <si>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</si>
  <si>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</si>
  <si>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</si>
  <si>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</si>
  <si>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</si>
  <si>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</si>
  <si>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</si>
  <si>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</si>
  <si>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</si>
  <si>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</si>
  <si>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</si>
  <si>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</si>
  <si>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</si>
  <si>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</si>
  <si>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</si>
  <si>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</si>
  <si>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</si>
  <si>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</si>
  <si>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</si>
  <si>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</si>
  <si>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</si>
  <si>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</si>
  <si>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</si>
  <si>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</si>
  <si>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</si>
  <si>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</si>
  <si>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</si>
  <si>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</si>
  <si>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</si>
  <si>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</si>
  <si>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</si>
  <si>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</si>
  <si>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</si>
  <si>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</si>
  <si>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</si>
  <si>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</si>
  <si>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</si>
  <si>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</si>
  <si>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</si>
  <si>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</si>
  <si>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</si>
  <si>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</si>
  <si>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</si>
  <si>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</si>
  <si>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</si>
  <si>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</si>
  <si>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</si>
  <si>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</si>
  <si>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</si>
  <si>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</si>
  <si>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</si>
  <si>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</si>
  <si>
    <t>Адаптер для трубы 63мм LIFT</t>
  </si>
  <si>
    <t>Переходник DM35-труба 63мм LIFT</t>
  </si>
  <si>
    <t>Переходник DM45-труба 63мм LIFT</t>
  </si>
  <si>
    <t>Клипса для крепления кабеля 6 мм, белая</t>
  </si>
  <si>
    <t>Болт- гайка</t>
  </si>
  <si>
    <t>Привод DM45BECA/Y-50/12, 230В, радио</t>
  </si>
  <si>
    <t>Изделий 51мм, кол-во шт.</t>
  </si>
  <si>
    <t>Кронштейн потолочный для монт.профиля AMG L, белый</t>
  </si>
  <si>
    <t>Кронштейн для заглушки AMG L, белый, М/П</t>
  </si>
  <si>
    <t>Кронштейн для механизма/привода AMG L, белый, М/П</t>
  </si>
  <si>
    <t>Крышка кронштейна AMG L, белый, М/П</t>
  </si>
  <si>
    <t>Полоса-фиксатор 10мм</t>
  </si>
  <si>
    <t>Полоса пластиковая самоклеящаяся 17мм СК</t>
  </si>
  <si>
    <t>Труба 51мм</t>
  </si>
  <si>
    <t>Труба 65мм</t>
  </si>
  <si>
    <t>Профиль монтажный AMG L, белый</t>
  </si>
  <si>
    <t>Заглушка в трубу 51мм, белая</t>
  </si>
  <si>
    <t>Заглушка в трубу 65мм, белая</t>
  </si>
  <si>
    <t>Адаптер для трубы 51мм, AMG L, привод DM35</t>
  </si>
  <si>
    <t>Адаптер для трубы 65мм, AMG L, привод DM35</t>
  </si>
  <si>
    <t>Переходник для трубы 51мм, привод DM35</t>
  </si>
  <si>
    <t>Переходник для трубы 65мм, привод DM35</t>
  </si>
  <si>
    <t>Пластина для привода DM35, AMG L, металл</t>
  </si>
  <si>
    <t>Приводы: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</si>
  <si>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>- радио с АКБ,</t>
    </r>
    <r>
      <rPr>
        <b/>
        <sz val="8"/>
        <rFont val="Arial"/>
        <family val="2"/>
        <charset val="204"/>
      </rPr>
      <t xml:space="preserve"> 6</t>
    </r>
    <r>
      <rPr>
        <sz val="8"/>
        <rFont val="Arial"/>
        <family val="2"/>
        <charset val="204"/>
      </rPr>
      <t>- радио АКБ с обр. связью</t>
    </r>
  </si>
  <si>
    <t>Тип крепления</t>
  </si>
  <si>
    <t>0 - потолок</t>
  </si>
  <si>
    <t>1 - стена</t>
  </si>
  <si>
    <t>Кронштейн потолочный для кассеты AMG L, белый</t>
  </si>
  <si>
    <t>Кронштейн стеновой для кассеты AMG L, 70мм, металл</t>
  </si>
  <si>
    <t>Кронштейн для заглушки AMG L, белый</t>
  </si>
  <si>
    <t>Кронштейн для механизма/привода AMG L, белый</t>
  </si>
  <si>
    <t>Крышка боковая кассеты AMG L, пара, белая</t>
  </si>
  <si>
    <t>Профиль базовый кассеты AMG L, белый</t>
  </si>
  <si>
    <t>Профиль лицевой кассеты AMG L, белый</t>
  </si>
  <si>
    <t>Натяжитель цепи прозрачный</t>
  </si>
  <si>
    <t>Ширина 1  (м)</t>
  </si>
  <si>
    <t>Ширина 2  (м)</t>
  </si>
  <si>
    <t>Кронштейн MONO/DOUBLE AMG L, белый</t>
  </si>
  <si>
    <t>Заглушка в трубу 65мм DOUBLE, белая</t>
  </si>
  <si>
    <t>Ось DOUBLE AMG L</t>
  </si>
  <si>
    <t>Заглушка в трубу 51мм DOUBLE, белая</t>
  </si>
  <si>
    <t>Ширина общая  (м)</t>
  </si>
  <si>
    <t>Кол-во полотен ткани в изделии 51 мм, шт.</t>
  </si>
  <si>
    <t>2 или 3. ДЛЯ ЗАПОЛНЕНИЯ ВЫБРАТЬ ТОЛЬКО ОДНУ ИЗ СТРОЧЕК</t>
  </si>
  <si>
    <t>кол-во изделий, шт</t>
  </si>
  <si>
    <t>СТРОЧКА ОБЯЗАТЕЛЬНАЯ ДЛЯ ЗАПОЛНЕНИЯ</t>
  </si>
  <si>
    <t>Заглушка в трубу 51мм MONO, белая</t>
  </si>
  <si>
    <t>Заглушка в трубу 65мм MONO, белая</t>
  </si>
  <si>
    <t>Ось MONO AMG L</t>
  </si>
  <si>
    <t>Рейка нижняя L.</t>
  </si>
  <si>
    <t>Крышка нижней рейки М ,пара</t>
  </si>
  <si>
    <t>Крышка нижней рейки L,пара</t>
  </si>
  <si>
    <t>Лента уплотнющая 7 мм</t>
  </si>
  <si>
    <t>Полоса-фиксатор 9 мм</t>
  </si>
  <si>
    <t>Рейка нижняя М,белая</t>
  </si>
  <si>
    <t>Рейка нижняя L,белая</t>
  </si>
  <si>
    <t>Изделий 51мм с монт. профилеи, кол-во шт.</t>
  </si>
  <si>
    <t>Изделий 65 мм с монт профилем , кол-во шт.</t>
  </si>
  <si>
    <t>Крышка кронштейна AMG L,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</si>
</sst>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;[Red]\-0.00000"/>
    <numFmt numFmtId="165" formatCode="0.000;[Red]\-0.000"/>
    <numFmt numFmtId="166" formatCode="0.0000;[Red]\-0.0000"/>
    <numFmt numFmtId="167" formatCode="0.000"/>
    <numFmt numFmtId="168" formatCode="#,##0.00;;;"/>
  </numFmts>
  <fonts count="45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  <font>
      <sz val="8"/>
      <name val="Franklin Gothic Book"/>
      <family val="2"/>
      <charset val="204"/>
    </font>
    <font>
      <sz val="11"/>
      <name val="Franklin Gothic Book"/>
      <family val="2"/>
      <charset val="204"/>
    </font>
    <font>
      <b/>
      <sz val="11"/>
      <color theme="1"/>
      <name val="Franklin Gothic Book"/>
      <family val="2"/>
      <charset val="204"/>
    </font>
    <font>
      <b/>
      <sz val="11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AEDAB6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342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38" fillId="0" borderId="0" xfId="0" applyFont="1" applyAlignment="1"/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/>
    </xf>
    <xf numFmtId="0" fontId="41" fillId="0" borderId="5" xfId="0" applyNumberFormat="1" applyFont="1" applyBorder="1" applyAlignment="1"/>
    <xf numFmtId="0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alignment horizontal="right"/>
      <protection locked="0"/>
    </xf>
    <xf numFmtId="167" fontId="42" fillId="0" borderId="5" xfId="0" applyNumberFormat="1" applyFont="1" applyFill="1" applyBorder="1" applyAlignment="1">
      <alignment horizontal="center" vertical="center"/>
    </xf>
    <xf numFmtId="0" fontId="41" fillId="0" borderId="5" xfId="0" applyNumberFormat="1" applyFont="1" applyFill="1" applyBorder="1" applyAlignment="1" applyProtection="1">
      <protection locked="0"/>
    </xf>
    <xf numFmtId="167" fontId="42" fillId="0" borderId="39" xfId="0" applyNumberFormat="1" applyFont="1" applyFill="1" applyBorder="1" applyAlignment="1">
      <alignment horizontal="center" vertical="center"/>
    </xf>
    <xf numFmtId="0" fontId="42" fillId="0" borderId="39" xfId="0" applyNumberFormat="1" applyFont="1" applyFill="1" applyBorder="1" applyAlignment="1">
      <alignment horizontal="center" vertical="center"/>
    </xf>
    <xf numFmtId="0" fontId="41" fillId="0" borderId="7" xfId="0" applyNumberFormat="1" applyFont="1" applyFill="1" applyBorder="1" applyAlignment="1" applyProtection="1">
      <alignment vertical="center"/>
      <protection hidden="1"/>
    </xf>
    <xf numFmtId="0" fontId="42" fillId="0" borderId="5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NumberFormat="1" applyFont="1" applyBorder="1" applyAlignment="1" applyProtection="1">
      <protection locked="0"/>
    </xf>
    <xf numFmtId="0" fontId="41" fillId="0" borderId="7" xfId="0" applyNumberFormat="1" applyFont="1" applyFill="1" applyBorder="1" applyAlignment="1" applyProtection="1">
      <protection hidden="1"/>
    </xf>
    <xf numFmtId="0" fontId="41" fillId="0" borderId="5" xfId="0" applyFont="1" applyBorder="1" applyAlignment="1"/>
    <xf numFmtId="0" fontId="42" fillId="0" borderId="5" xfId="0" applyFont="1" applyBorder="1" applyAlignment="1">
      <alignment horizontal="center"/>
    </xf>
    <xf numFmtId="0" fontId="41" fillId="0" borderId="5" xfId="0" applyFont="1" applyBorder="1" applyAlignment="1" applyProtection="1">
      <protection locked="0"/>
    </xf>
    <xf numFmtId="0" fontId="21" fillId="7" borderId="17" xfId="0" applyFont="1" applyFill="1" applyBorder="1" applyAlignment="1">
      <alignment horizontal="center"/>
    </xf>
    <xf numFmtId="2" fontId="21" fillId="0" borderId="22" xfId="0" applyNumberFormat="1" applyFont="1" applyBorder="1" applyAlignment="1" applyProtection="1">
      <alignment horizontal="center" vertical="center"/>
      <protection locked="0"/>
    </xf>
    <xf numFmtId="0" fontId="21" fillId="7" borderId="8" xfId="0" applyFont="1" applyFill="1" applyBorder="1" applyAlignment="1">
      <alignment horizontal="center"/>
    </xf>
    <xf numFmtId="2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6" xfId="0" applyNumberFormat="1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/>
    </xf>
    <xf numFmtId="0" fontId="29" fillId="5" borderId="36" xfId="0" applyFont="1" applyFill="1" applyBorder="1" applyAlignment="1">
      <alignment horizontal="center" vertical="center"/>
    </xf>
    <xf numFmtId="0" fontId="29" fillId="5" borderId="37" xfId="0" applyFont="1" applyFill="1" applyBorder="1" applyAlignment="1">
      <alignment horizontal="center" vertical="center"/>
    </xf>
    <xf numFmtId="0" fontId="29" fillId="9" borderId="37" xfId="0" applyFont="1" applyFill="1" applyBorder="1" applyAlignment="1">
      <alignment horizontal="center" vertical="center"/>
    </xf>
    <xf numFmtId="0" fontId="29" fillId="5" borderId="38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6" fillId="0" borderId="17" xfId="0" applyFont="1" applyFill="1" applyBorder="1" applyAlignment="1">
      <alignment horizontal="left"/>
    </xf>
    <xf numFmtId="168" fontId="26" fillId="0" borderId="22" xfId="0" applyNumberFormat="1" applyFont="1" applyFill="1" applyBorder="1" applyAlignment="1" applyProtection="1">
      <alignment horizontal="right"/>
      <protection hidden="1"/>
    </xf>
    <xf numFmtId="168" fontId="21" fillId="0" borderId="0" xfId="0" applyNumberFormat="1" applyFont="1" applyBorder="1" applyAlignment="1" applyProtection="1">
      <protection hidden="1"/>
    </xf>
    <xf numFmtId="168" fontId="26" fillId="0" borderId="5" xfId="0" applyNumberFormat="1" applyFont="1" applyFill="1" applyBorder="1" applyAlignment="1" applyProtection="1">
      <alignment horizontal="right"/>
      <protection hidden="1"/>
    </xf>
    <xf numFmtId="168" fontId="21" fillId="0" borderId="5" xfId="0" applyNumberFormat="1" applyFont="1" applyBorder="1" applyAlignment="1" applyProtection="1">
      <alignment horizontal="right"/>
      <protection hidden="1"/>
    </xf>
    <xf numFmtId="168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8" xfId="0" applyFont="1" applyBorder="1" applyAlignment="1"/>
    <xf numFmtId="168" fontId="21" fillId="0" borderId="6" xfId="0" applyNumberFormat="1" applyFont="1" applyBorder="1" applyAlignment="1" applyProtection="1">
      <protection hidden="1"/>
    </xf>
    <xf numFmtId="2" fontId="21" fillId="0" borderId="70" xfId="0" applyNumberFormat="1" applyFont="1" applyBorder="1" applyAlignment="1"/>
    <xf numFmtId="2" fontId="21" fillId="0" borderId="22" xfId="0" applyNumberFormat="1" applyFont="1" applyFill="1" applyBorder="1" applyAlignment="1" applyProtection="1">
      <alignment horizontal="right"/>
      <protection locked="0"/>
    </xf>
    <xf numFmtId="0" fontId="21" fillId="0" borderId="8" xfId="0" applyFont="1" applyFill="1" applyBorder="1" applyAlignment="1" applyProtection="1">
      <protection hidden="1"/>
    </xf>
    <xf numFmtId="0" fontId="21" fillId="0" borderId="48" xfId="0" applyFont="1" applyFill="1" applyBorder="1" applyAlignment="1" applyProtection="1">
      <alignment horizontal="right"/>
      <protection locked="0"/>
    </xf>
    <xf numFmtId="0" fontId="36" fillId="0" borderId="0" xfId="0" applyFont="1" applyAlignment="1">
      <alignment horizontal="center" vertical="center"/>
    </xf>
    <xf numFmtId="0" fontId="44" fillId="0" borderId="0" xfId="0" applyFont="1" applyAlignment="1"/>
    <xf numFmtId="4" fontId="21" fillId="0" borderId="19" xfId="0" applyNumberFormat="1" applyFont="1" applyBorder="1" applyAlignment="1" applyProtection="1">
      <protection hidden="1"/>
    </xf>
    <xf numFmtId="4" fontId="21" fillId="0" borderId="3" xfId="0" applyNumberFormat="1" applyFont="1" applyBorder="1" applyAlignment="1" applyProtection="1">
      <protection hidden="1"/>
    </xf>
    <xf numFmtId="4" fontId="21" fillId="0" borderId="4" xfId="0" applyNumberFormat="1" applyFont="1" applyBorder="1" applyAlignment="1" applyProtection="1">
      <protection hidden="1"/>
    </xf>
    <xf numFmtId="0" fontId="41" fillId="0" borderId="7" xfId="0" applyNumberFormat="1" applyFont="1" applyBorder="1" applyAlignment="1"/>
    <xf numFmtId="2" fontId="0" fillId="0" borderId="70" xfId="0" applyNumberFormat="1" applyBorder="1" applyAlignment="1"/>
    <xf numFmtId="4" fontId="26" fillId="0" borderId="22" xfId="0" applyNumberFormat="1" applyFont="1" applyFill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/>
      <protection hidden="1"/>
    </xf>
    <xf numFmtId="4" fontId="21" fillId="0" borderId="5" xfId="0" applyNumberFormat="1" applyFont="1" applyBorder="1" applyAlignment="1" applyProtection="1">
      <alignment horizontal="right"/>
      <protection hidden="1"/>
    </xf>
    <xf numFmtId="4" fontId="26" fillId="0" borderId="5" xfId="0" applyNumberFormat="1" applyFont="1" applyFill="1" applyBorder="1" applyAlignment="1" applyProtection="1">
      <alignment horizontal="right" vertical="center"/>
      <protection hidden="1"/>
    </xf>
    <xf numFmtId="4" fontId="21" fillId="0" borderId="6" xfId="0" applyNumberFormat="1" applyFont="1" applyBorder="1" applyAlignment="1" applyProtection="1">
      <protection hidden="1"/>
    </xf>
    <xf numFmtId="2" fontId="41" fillId="0" borderId="22" xfId="1" applyNumberFormat="1" applyFont="1" applyFill="1" applyBorder="1" applyAlignment="1" applyProtection="1">
      <alignment horizontal="right"/>
      <protection hidden="1"/>
    </xf>
    <xf numFmtId="2" fontId="41" fillId="0" borderId="5" xfId="1" applyNumberFormat="1" applyFont="1" applyFill="1" applyBorder="1" applyAlignment="1" applyProtection="1">
      <alignment horizontal="right"/>
      <protection hidden="1"/>
    </xf>
    <xf numFmtId="2" fontId="41" fillId="0" borderId="6" xfId="1" applyNumberFormat="1" applyFont="1" applyFill="1" applyBorder="1" applyAlignment="1" applyProtection="1">
      <alignment horizontal="right"/>
      <protection hidden="1"/>
    </xf>
    <xf numFmtId="0" fontId="21" fillId="7" borderId="65" xfId="0" applyFont="1" applyFill="1" applyBorder="1" applyAlignment="1">
      <alignment horizontal="center"/>
    </xf>
    <xf numFmtId="0" fontId="21" fillId="0" borderId="34" xfId="0" applyFont="1" applyFill="1" applyBorder="1" applyAlignment="1" applyProtection="1">
      <alignment horizontal="center" vertical="center" wrapText="1"/>
      <protection hidden="1"/>
    </xf>
    <xf numFmtId="0" fontId="21" fillId="0" borderId="48" xfId="0" applyFont="1" applyBorder="1" applyAlignment="1">
      <alignment horizontal="center"/>
    </xf>
    <xf numFmtId="168" fontId="21" fillId="0" borderId="19" xfId="0" applyNumberFormat="1" applyFont="1" applyBorder="1" applyAlignment="1" applyProtection="1">
      <protection hidden="1"/>
    </xf>
    <xf numFmtId="168" fontId="21" fillId="0" borderId="3" xfId="0" applyNumberFormat="1" applyFont="1" applyBorder="1" applyAlignment="1" applyProtection="1">
      <protection hidden="1"/>
    </xf>
    <xf numFmtId="168" fontId="21" fillId="0" borderId="4" xfId="0" applyNumberFormat="1" applyFont="1" applyBorder="1" applyAlignment="1" applyProtection="1">
      <protection hidden="1"/>
    </xf>
    <xf numFmtId="2" fontId="26" fillId="0" borderId="22" xfId="0" applyNumberFormat="1" applyFont="1" applyFill="1" applyBorder="1" applyAlignment="1" applyProtection="1">
      <alignment horizontal="right"/>
      <protection hidden="1"/>
    </xf>
    <xf numFmtId="0" fontId="21" fillId="7" borderId="17" xfId="0" applyFont="1" applyFill="1" applyBorder="1" applyAlignment="1" applyProtection="1">
      <alignment horizontal="center"/>
    </xf>
    <xf numFmtId="0" fontId="21" fillId="7" borderId="7" xfId="0" applyFont="1" applyFill="1" applyBorder="1" applyAlignment="1" applyProtection="1">
      <alignment horizontal="center"/>
    </xf>
    <xf numFmtId="0" fontId="21" fillId="0" borderId="63" xfId="0" applyNumberFormat="1" applyFont="1" applyBorder="1" applyAlignment="1" applyProtection="1">
      <alignment horizontal="center" vertical="center"/>
      <protection locked="0"/>
    </xf>
    <xf numFmtId="0" fontId="21" fillId="14" borderId="17" xfId="0" applyFont="1" applyFill="1" applyBorder="1" applyAlignment="1">
      <alignment horizontal="center"/>
    </xf>
    <xf numFmtId="0" fontId="21" fillId="0" borderId="22" xfId="0" applyNumberFormat="1" applyFont="1" applyBorder="1" applyAlignment="1" applyProtection="1">
      <alignment horizontal="center"/>
      <protection locked="0"/>
    </xf>
    <xf numFmtId="0" fontId="21" fillId="14" borderId="47" xfId="0" applyFont="1" applyFill="1" applyBorder="1" applyAlignment="1">
      <alignment horizontal="center"/>
    </xf>
    <xf numFmtId="0" fontId="21" fillId="0" borderId="23" xfId="0" applyNumberFormat="1" applyFont="1" applyBorder="1" applyAlignment="1" applyProtection="1">
      <alignment horizontal="center"/>
      <protection locked="0"/>
    </xf>
    <xf numFmtId="0" fontId="21" fillId="14" borderId="7" xfId="0" applyFont="1" applyFill="1" applyBorder="1" applyAlignment="1">
      <alignment horizontal="center"/>
    </xf>
    <xf numFmtId="0" fontId="21" fillId="0" borderId="5" xfId="0" applyNumberFormat="1" applyFont="1" applyBorder="1" applyAlignment="1" applyProtection="1">
      <alignment horizontal="center"/>
      <protection locked="0"/>
    </xf>
    <xf numFmtId="0" fontId="21" fillId="14" borderId="8" xfId="0" applyFont="1" applyFill="1" applyBorder="1" applyAlignment="1">
      <alignment horizontal="center"/>
    </xf>
    <xf numFmtId="0" fontId="21" fillId="0" borderId="6" xfId="0" applyNumberFormat="1" applyFont="1" applyBorder="1" applyAlignment="1" applyProtection="1">
      <alignment horizontal="center"/>
      <protection locked="0"/>
    </xf>
    <xf numFmtId="0" fontId="26" fillId="0" borderId="47" xfId="0" applyFont="1" applyFill="1" applyBorder="1" applyAlignment="1">
      <alignment horizontal="left"/>
    </xf>
    <xf numFmtId="168" fontId="26" fillId="0" borderId="23" xfId="0" applyNumberFormat="1" applyFont="1" applyFill="1" applyBorder="1" applyAlignment="1" applyProtection="1">
      <alignment horizontal="right"/>
      <protection hidden="1"/>
    </xf>
    <xf numFmtId="168" fontId="21" fillId="0" borderId="56" xfId="0" applyNumberFormat="1" applyFont="1" applyBorder="1" applyAlignment="1" applyProtection="1">
      <protection hidden="1"/>
    </xf>
    <xf numFmtId="0" fontId="26" fillId="0" borderId="22" xfId="0" applyNumberFormat="1" applyFont="1" applyFill="1" applyBorder="1" applyAlignment="1" applyProtection="1">
      <alignment horizontal="right"/>
      <protection hidden="1"/>
    </xf>
    <xf numFmtId="0" fontId="26" fillId="0" borderId="23" xfId="0" applyNumberFormat="1" applyFont="1" applyFill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/>
      <protection hidden="1"/>
    </xf>
    <xf numFmtId="0" fontId="21" fillId="0" borderId="5" xfId="0" applyNumberFormat="1" applyFont="1" applyBorder="1" applyAlignment="1" applyProtection="1">
      <alignment horizontal="right"/>
      <protection hidden="1"/>
    </xf>
    <xf numFmtId="0" fontId="26" fillId="0" borderId="5" xfId="0" applyNumberFormat="1" applyFont="1" applyFill="1" applyBorder="1" applyAlignment="1" applyProtection="1">
      <alignment horizontal="right" vertical="center"/>
      <protection hidden="1"/>
    </xf>
    <xf numFmtId="0" fontId="21" fillId="0" borderId="6" xfId="0" applyNumberFormat="1" applyFont="1" applyBorder="1" applyAlignment="1" applyProtection="1">
      <protection hidden="1"/>
    </xf>
    <xf numFmtId="0" fontId="29" fillId="5" borderId="53" xfId="0" applyFont="1" applyFill="1" applyBorder="1" applyAlignment="1">
      <alignment horizontal="center" vertical="center"/>
    </xf>
    <xf numFmtId="0" fontId="29" fillId="5" borderId="70" xfId="0" applyFont="1" applyFill="1" applyBorder="1" applyAlignment="1">
      <alignment horizontal="center" vertical="center"/>
    </xf>
    <xf numFmtId="2" fontId="21" fillId="0" borderId="50" xfId="0" applyNumberFormat="1" applyFont="1" applyBorder="1" applyAlignment="1"/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4" fillId="0" borderId="54" xfId="0" applyFont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4" fillId="0" borderId="7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54" xfId="0" applyFont="1" applyBorder="1" applyAlignment="1">
      <alignment horizontal="left"/>
    </xf>
    <xf numFmtId="0" fontId="0" fillId="0" borderId="54" xfId="0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39" fillId="0" borderId="26" xfId="0" applyFont="1" applyBorder="1" applyAlignment="1">
      <alignment horizontal="center" vertical="center" wrapText="1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16" fillId="0" borderId="5" xfId="0" applyFont="1" applyBorder="1" applyAlignment="1">
      <alignment horizontal="center" vertical="center" textRotation="90" wrapText="1"/>
    </xf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6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4" fillId="0" borderId="13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43" fillId="0" borderId="43" xfId="0" applyNumberFormat="1" applyFont="1" applyFill="1" applyBorder="1" applyAlignment="1">
      <alignment horizontal="center" vertical="center"/>
    </xf>
    <xf numFmtId="0" fontId="43" fillId="0" borderId="16" xfId="0" applyNumberFormat="1" applyFont="1" applyFill="1" applyBorder="1" applyAlignment="1">
      <alignment horizontal="center" vertical="center"/>
    </xf>
    <xf numFmtId="0" fontId="43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1" fillId="11" borderId="22" xfId="0" applyFont="1" applyFill="1" applyBorder="1" applyAlignment="1">
      <alignment horizontal="center" vertical="center" wrapText="1"/>
    </xf>
    <xf numFmtId="0" fontId="21" fillId="11" borderId="19" xfId="0" applyFont="1" applyFill="1" applyBorder="1" applyAlignment="1">
      <alignment horizontal="center" vertical="center" wrapText="1"/>
    </xf>
    <xf numFmtId="0" fontId="21" fillId="11" borderId="6" xfId="0" applyFont="1" applyFill="1" applyBorder="1" applyAlignment="1">
      <alignment horizontal="center" vertical="center" wrapText="1"/>
    </xf>
    <xf numFmtId="0" fontId="21" fillId="11" borderId="4" xfId="0" applyFont="1" applyFill="1" applyBorder="1" applyAlignment="1">
      <alignment horizontal="center" vertical="center" wrapText="1"/>
    </xf>
    <xf numFmtId="0" fontId="21" fillId="11" borderId="22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vertical="center" wrapText="1"/>
      <protection hidden="1"/>
    </xf>
    <xf numFmtId="0" fontId="21" fillId="11" borderId="6" xfId="0" applyFont="1" applyFill="1" applyBorder="1" applyAlignment="1" applyProtection="1">
      <alignment horizontal="center" vertical="center" wrapText="1"/>
      <protection hidden="1"/>
    </xf>
    <xf numFmtId="0" fontId="21" fillId="11" borderId="4" xfId="0" applyFont="1" applyFill="1" applyBorder="1" applyAlignment="1" applyProtection="1">
      <alignment horizontal="center" vertical="center" wrapText="1"/>
      <protection hidden="1"/>
    </xf>
    <xf numFmtId="0" fontId="21" fillId="11" borderId="19" xfId="0" applyFont="1" applyFill="1" applyBorder="1" applyAlignment="1" applyProtection="1">
      <alignment horizontal="center" wrapText="1"/>
      <protection hidden="1"/>
    </xf>
    <xf numFmtId="0" fontId="21" fillId="11" borderId="4" xfId="0" applyFont="1" applyFill="1" applyBorder="1" applyAlignment="1" applyProtection="1">
      <alignment horizontal="center" wrapText="1"/>
      <protection hidden="1"/>
    </xf>
    <xf numFmtId="0" fontId="0" fillId="0" borderId="58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1" fillId="11" borderId="12" xfId="0" applyFont="1" applyFill="1" applyBorder="1" applyAlignment="1" applyProtection="1">
      <alignment horizontal="center" wrapText="1"/>
      <protection hidden="1"/>
    </xf>
    <xf numFmtId="0" fontId="21" fillId="11" borderId="14" xfId="0" applyFont="1" applyFill="1" applyBorder="1" applyAlignment="1" applyProtection="1">
      <alignment horizontal="center" wrapText="1"/>
      <protection hidden="1"/>
    </xf>
    <xf numFmtId="0" fontId="21" fillId="11" borderId="77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1" fillId="11" borderId="45" xfId="0" applyFont="1" applyFill="1" applyBorder="1" applyAlignment="1" applyProtection="1">
      <alignment horizontal="center" vertical="center"/>
    </xf>
    <xf numFmtId="0" fontId="21" fillId="11" borderId="15" xfId="0" applyFont="1" applyFill="1" applyBorder="1" applyAlignment="1" applyProtection="1">
      <alignment horizontal="center" vertical="center"/>
    </xf>
    <xf numFmtId="0" fontId="21" fillId="11" borderId="52" xfId="0" applyFont="1" applyFill="1" applyBorder="1" applyAlignment="1" applyProtection="1">
      <alignment horizontal="center" vertical="center"/>
    </xf>
    <xf numFmtId="0" fontId="21" fillId="11" borderId="38" xfId="0" applyFont="1" applyFill="1" applyBorder="1" applyAlignment="1">
      <alignment horizontal="center" vertical="center" wrapText="1"/>
    </xf>
    <xf numFmtId="0" fontId="21" fillId="11" borderId="25" xfId="0" applyFont="1" applyFill="1" applyBorder="1" applyAlignment="1">
      <alignment horizontal="center" vertical="center" wrapText="1"/>
    </xf>
    <xf numFmtId="0" fontId="21" fillId="11" borderId="76" xfId="0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</cellXfs>
  <cellStyles count="2">
    <cellStyle name="Нейтральный" xfId="1" builtinId="28"/>
    <cellStyle name="Обычный" xfId="0" builtinId="0"/>
  </cellStyles>
  <dxfs count="657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1</xdr:row>
      <xdr:rowOff>2673</xdr:rowOff>
    </xdr:from>
    <xdr:ext cx="6762750" cy="409407"/>
    <xdr:sp macro="" textlink="">
      <xdr:nvSpPr>
        <xdr:cNvPr id="2" name="Прямоугольник 1"/>
        <xdr:cNvSpPr/>
      </xdr:nvSpPr>
      <xdr:spPr>
        <a:xfrm>
          <a:off x="542926" y="145548"/>
          <a:ext cx="67627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219076</xdr:colOff>
      <xdr:row>0</xdr:row>
      <xdr:rowOff>97127</xdr:rowOff>
    </xdr:from>
    <xdr:to>
      <xdr:col>1</xdr:col>
      <xdr:colOff>1085850</xdr:colOff>
      <xdr:row>3</xdr:row>
      <xdr:rowOff>28575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6" y="97127"/>
          <a:ext cx="866774" cy="5600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7048500" cy="409407"/>
    <xdr:sp macro="" textlink="">
      <xdr:nvSpPr>
        <xdr:cNvPr id="4" name="Прямоугольник 3"/>
        <xdr:cNvSpPr/>
      </xdr:nvSpPr>
      <xdr:spPr>
        <a:xfrm>
          <a:off x="542925" y="145548"/>
          <a:ext cx="70485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219077</xdr:colOff>
      <xdr:row>0</xdr:row>
      <xdr:rowOff>97127</xdr:rowOff>
    </xdr:from>
    <xdr:to>
      <xdr:col>1</xdr:col>
      <xdr:colOff>952501</xdr:colOff>
      <xdr:row>3</xdr:row>
      <xdr:rowOff>19050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2477" y="97127"/>
          <a:ext cx="733424" cy="55057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38950" cy="409407"/>
    <xdr:sp macro="" textlink="">
      <xdr:nvSpPr>
        <xdr:cNvPr id="4" name="Прямоугольник 3"/>
        <xdr:cNvSpPr/>
      </xdr:nvSpPr>
      <xdr:spPr>
        <a:xfrm>
          <a:off x="542925" y="145548"/>
          <a:ext cx="683895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116177</xdr:rowOff>
    </xdr:from>
    <xdr:to>
      <xdr:col>1</xdr:col>
      <xdr:colOff>857250</xdr:colOff>
      <xdr:row>4</xdr:row>
      <xdr:rowOff>62022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7"/>
          <a:ext cx="742948" cy="71737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858001" cy="409407"/>
    <xdr:sp macro="" textlink="">
      <xdr:nvSpPr>
        <xdr:cNvPr id="4" name="Прямоугольник 3"/>
        <xdr:cNvSpPr/>
      </xdr:nvSpPr>
      <xdr:spPr>
        <a:xfrm>
          <a:off x="542924" y="145548"/>
          <a:ext cx="6858001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161927</xdr:colOff>
      <xdr:row>0</xdr:row>
      <xdr:rowOff>116179</xdr:rowOff>
    </xdr:from>
    <xdr:to>
      <xdr:col>1</xdr:col>
      <xdr:colOff>762000</xdr:colOff>
      <xdr:row>2</xdr:row>
      <xdr:rowOff>314135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7" y="116179"/>
          <a:ext cx="600073" cy="48370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677025" cy="409407"/>
    <xdr:sp macro="" textlink="">
      <xdr:nvSpPr>
        <xdr:cNvPr id="2" name="Прямоугольник 1"/>
        <xdr:cNvSpPr/>
      </xdr:nvSpPr>
      <xdr:spPr>
        <a:xfrm>
          <a:off x="542925" y="145548"/>
          <a:ext cx="667702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180977</xdr:colOff>
      <xdr:row>0</xdr:row>
      <xdr:rowOff>97127</xdr:rowOff>
    </xdr:from>
    <xdr:to>
      <xdr:col>1</xdr:col>
      <xdr:colOff>895350</xdr:colOff>
      <xdr:row>3</xdr:row>
      <xdr:rowOff>9525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7" y="97127"/>
          <a:ext cx="714373" cy="541048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743700" cy="409407"/>
    <xdr:sp macro="" textlink="">
      <xdr:nvSpPr>
        <xdr:cNvPr id="2" name="Прямоугольник 1"/>
        <xdr:cNvSpPr/>
      </xdr:nvSpPr>
      <xdr:spPr>
        <a:xfrm>
          <a:off x="542925" y="145548"/>
          <a:ext cx="6743700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Double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114302</xdr:colOff>
      <xdr:row>0</xdr:row>
      <xdr:rowOff>116178</xdr:rowOff>
    </xdr:from>
    <xdr:to>
      <xdr:col>1</xdr:col>
      <xdr:colOff>857250</xdr:colOff>
      <xdr:row>3</xdr:row>
      <xdr:rowOff>28576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2" y="116178"/>
          <a:ext cx="742948" cy="54104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1</xdr:row>
      <xdr:rowOff>2673</xdr:rowOff>
    </xdr:from>
    <xdr:ext cx="6772275" cy="409407"/>
    <xdr:sp macro="" textlink="">
      <xdr:nvSpPr>
        <xdr:cNvPr id="2" name="Прямоугольник 1"/>
        <xdr:cNvSpPr/>
      </xdr:nvSpPr>
      <xdr:spPr>
        <a:xfrm>
          <a:off x="542924" y="145548"/>
          <a:ext cx="67722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Mono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123827</xdr:colOff>
      <xdr:row>0</xdr:row>
      <xdr:rowOff>135230</xdr:rowOff>
    </xdr:from>
    <xdr:to>
      <xdr:col>1</xdr:col>
      <xdr:colOff>771403</xdr:colOff>
      <xdr:row>2</xdr:row>
      <xdr:rowOff>314326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2" y="135230"/>
          <a:ext cx="647576" cy="46484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1</xdr:row>
      <xdr:rowOff>2673</xdr:rowOff>
    </xdr:from>
    <xdr:ext cx="6848475" cy="409407"/>
    <xdr:sp macro="" textlink="">
      <xdr:nvSpPr>
        <xdr:cNvPr id="4" name="Прямоугольник 3"/>
        <xdr:cNvSpPr/>
      </xdr:nvSpPr>
      <xdr:spPr>
        <a:xfrm>
          <a:off x="542925" y="145548"/>
          <a:ext cx="6848475" cy="409407"/>
        </a:xfrm>
        <a:prstGeom prst="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АМГ</a:t>
          </a:r>
          <a:r>
            <a:rPr lang="ru-RU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 </a:t>
          </a:r>
          <a:r>
            <a:rPr lang="en-US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47626</xdr:colOff>
      <xdr:row>0</xdr:row>
      <xdr:rowOff>114300</xdr:rowOff>
    </xdr:from>
    <xdr:to>
      <xdr:col>1</xdr:col>
      <xdr:colOff>872369</xdr:colOff>
      <xdr:row>3</xdr:row>
      <xdr:rowOff>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6" y="114300"/>
          <a:ext cx="824743" cy="514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5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7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I22" sqref="I22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1030" t="s">
        <v>729</v>
      </c>
      <c r="B2" s="1031"/>
      <c r="C2" s="1031"/>
      <c r="D2" s="1031"/>
    </row>
    <row r="3" spans="1:4">
      <c r="A3" s="792" t="s">
        <v>6</v>
      </c>
      <c r="B3" s="878">
        <v>0</v>
      </c>
      <c r="C3" s="1032" t="s">
        <v>30</v>
      </c>
      <c r="D3" s="1033"/>
    </row>
    <row r="4" spans="1:4">
      <c r="A4" s="804" t="s">
        <v>1</v>
      </c>
      <c r="B4" s="879">
        <v>0</v>
      </c>
      <c r="C4" s="1034" t="s">
        <v>30</v>
      </c>
      <c r="D4" s="1035"/>
    </row>
    <row r="5" spans="1:4">
      <c r="A5" s="804" t="s">
        <v>730</v>
      </c>
      <c r="B5" s="880">
        <v>0</v>
      </c>
      <c r="C5" s="1034" t="s">
        <v>30</v>
      </c>
      <c r="D5" s="1035"/>
    </row>
    <row r="6" spans="1:4">
      <c r="A6" s="804" t="s">
        <v>731</v>
      </c>
      <c r="B6" s="880">
        <v>0</v>
      </c>
      <c r="C6" s="1036" t="s">
        <v>732</v>
      </c>
      <c r="D6" s="1037"/>
    </row>
    <row r="7" spans="1:4">
      <c r="A7" s="804" t="s">
        <v>733</v>
      </c>
      <c r="B7" s="880">
        <v>0</v>
      </c>
      <c r="C7" s="1047" t="s">
        <v>734</v>
      </c>
      <c r="D7" s="1048"/>
    </row>
    <row r="8" spans="1:4">
      <c r="A8" s="804" t="s">
        <v>735</v>
      </c>
      <c r="B8" s="879">
        <v>0</v>
      </c>
      <c r="C8" s="1034" t="s">
        <v>30</v>
      </c>
      <c r="D8" s="1035"/>
    </row>
    <row r="9" spans="1:4">
      <c r="A9" s="804" t="s">
        <v>772</v>
      </c>
      <c r="B9" s="871">
        <v>0</v>
      </c>
      <c r="C9" s="776" t="s">
        <v>774</v>
      </c>
      <c r="D9" s="777" t="s">
        <v>773</v>
      </c>
    </row>
    <row r="10" spans="1:4" ht="12" customHeight="1">
      <c r="A10" s="804" t="s">
        <v>736</v>
      </c>
      <c r="B10" s="880">
        <v>0</v>
      </c>
      <c r="C10" s="1036" t="s">
        <v>737</v>
      </c>
      <c r="D10" s="1037"/>
    </row>
    <row r="11" spans="1:4" ht="33" customHeight="1">
      <c r="A11" s="805" t="s">
        <v>738</v>
      </c>
      <c r="B11" s="896">
        <v>0</v>
      </c>
      <c r="C11" s="1049" t="s">
        <v>739</v>
      </c>
      <c r="D11" s="1048"/>
    </row>
    <row r="12" spans="1:4">
      <c r="A12" s="804" t="s">
        <v>740</v>
      </c>
      <c r="B12" s="1339">
        <v>0</v>
      </c>
      <c r="C12" s="1047" t="s">
        <v>734</v>
      </c>
      <c r="D12" s="1048"/>
    </row>
    <row r="13" spans="1:4">
      <c r="A13" s="806" t="s">
        <v>741</v>
      </c>
      <c r="B13" s="880">
        <v>0</v>
      </c>
      <c r="C13" s="1047" t="s">
        <v>734</v>
      </c>
      <c r="D13" s="1048"/>
    </row>
    <row r="14" spans="1:4" ht="12" thickBot="1">
      <c r="A14" s="806" t="s">
        <v>742</v>
      </c>
      <c r="B14" s="1340">
        <v>0</v>
      </c>
      <c r="C14" s="1038" t="s">
        <v>734</v>
      </c>
      <c r="D14" s="1039"/>
    </row>
    <row r="15" spans="1:4">
      <c r="A15" s="792" t="s">
        <v>743</v>
      </c>
      <c r="B15" s="878">
        <f>CEILING(B3*12.5,1)</f>
        <v>0</v>
      </c>
      <c r="C15" s="1040" t="s">
        <v>29</v>
      </c>
      <c r="D15" s="1041"/>
    </row>
    <row r="16" spans="1:4" ht="12" thickBot="1">
      <c r="A16" s="793" t="s">
        <v>744</v>
      </c>
      <c r="B16" s="1341">
        <f>IF(B3&lt;0.71,2,IF(B3&lt;1.41,3,IF(B3&lt;2.11,4,IF(B3&lt;2.81,5,IF(B3&lt;3.51,6,IF(B3&lt;4.21,7))))))</f>
        <v>2</v>
      </c>
      <c r="C16" s="1042"/>
      <c r="D16" s="1043"/>
    </row>
    <row r="17" spans="1:7" ht="12" thickBot="1"/>
    <row r="18" spans="1:7" ht="12.75">
      <c r="A18" s="794" t="s">
        <v>7</v>
      </c>
      <c r="B18" s="794" t="s">
        <v>0</v>
      </c>
      <c r="C18" s="795" t="s">
        <v>4</v>
      </c>
      <c r="D18" s="794" t="s">
        <v>8</v>
      </c>
    </row>
    <row r="19" spans="1:7" ht="12.75" customHeight="1">
      <c r="A19" s="797" t="s">
        <v>745</v>
      </c>
      <c r="B19" s="47">
        <f>IF(B6=1,B15,0)*B8</f>
        <v>0</v>
      </c>
      <c r="C19" s="844"/>
      <c r="D19" s="798">
        <f t="shared" ref="D19:D45" si="0">B19*C19</f>
        <v>0</v>
      </c>
    </row>
    <row r="20" spans="1:7">
      <c r="A20" s="798" t="s">
        <v>746</v>
      </c>
      <c r="B20" s="47">
        <f>IF(B6=1,B15,0)*B8</f>
        <v>0</v>
      </c>
      <c r="C20" s="844"/>
      <c r="D20" s="798">
        <f t="shared" si="0"/>
        <v>0</v>
      </c>
    </row>
    <row r="21" spans="1:7">
      <c r="A21" s="798" t="s">
        <v>747</v>
      </c>
      <c r="B21" s="47">
        <f>1*B8</f>
        <v>0</v>
      </c>
      <c r="C21" s="844"/>
      <c r="D21" s="798">
        <f t="shared" si="0"/>
        <v>0</v>
      </c>
    </row>
    <row r="22" spans="1:7" ht="12" customHeight="1">
      <c r="A22" s="797" t="s">
        <v>748</v>
      </c>
      <c r="B22" s="47">
        <f>IF(B11&gt;2,B15/2,IF(B11=2,B15,0))*B8</f>
        <v>0</v>
      </c>
      <c r="C22" s="844"/>
      <c r="D22" s="798">
        <f t="shared" si="0"/>
        <v>0</v>
      </c>
    </row>
    <row r="23" spans="1:7" ht="11.25" customHeight="1">
      <c r="A23" s="797" t="s">
        <v>749</v>
      </c>
      <c r="B23" s="47">
        <f>IF(B11&gt;2,B15/2,IF(B11=1,B15,0))*B8</f>
        <v>0</v>
      </c>
      <c r="C23" s="844"/>
      <c r="D23" s="798">
        <f t="shared" si="0"/>
        <v>0</v>
      </c>
    </row>
    <row r="24" spans="1:7" ht="11.25" customHeight="1">
      <c r="A24" s="797" t="s">
        <v>750</v>
      </c>
      <c r="B24" s="47">
        <f>IF(B12&lt;&gt;1,B16,0)*B8</f>
        <v>0</v>
      </c>
      <c r="C24" s="844"/>
      <c r="D24" s="798">
        <f t="shared" si="0"/>
        <v>0</v>
      </c>
    </row>
    <row r="25" spans="1:7">
      <c r="A25" s="798" t="s">
        <v>184</v>
      </c>
      <c r="B25" s="47">
        <f>IF(B12&lt;&gt;1,B16,0)*B8</f>
        <v>0</v>
      </c>
      <c r="C25" s="844"/>
      <c r="D25" s="798">
        <f t="shared" si="0"/>
        <v>0</v>
      </c>
    </row>
    <row r="26" spans="1:7">
      <c r="A26" s="798" t="s">
        <v>751</v>
      </c>
      <c r="B26" s="47">
        <f>IF(B12&lt;&gt;0,B16,0)*B8</f>
        <v>0</v>
      </c>
      <c r="C26" s="844"/>
      <c r="D26" s="798">
        <f t="shared" si="0"/>
        <v>0</v>
      </c>
    </row>
    <row r="27" spans="1:7">
      <c r="A27" s="798" t="s">
        <v>741</v>
      </c>
      <c r="B27" s="47">
        <f>IF(B13=0,0,B16)*B8</f>
        <v>0</v>
      </c>
      <c r="C27" s="844"/>
      <c r="D27" s="798">
        <f t="shared" si="0"/>
        <v>0</v>
      </c>
    </row>
    <row r="28" spans="1:7">
      <c r="A28" s="798" t="s">
        <v>752</v>
      </c>
      <c r="B28" s="47">
        <f>IF(B13=1,0,IF(B12=0,B16,0))*B8</f>
        <v>0</v>
      </c>
      <c r="C28" s="844"/>
      <c r="D28" s="798">
        <f t="shared" si="0"/>
        <v>0</v>
      </c>
      <c r="G28">
        <v>1</v>
      </c>
    </row>
    <row r="29" spans="1:7">
      <c r="A29" s="798" t="s">
        <v>753</v>
      </c>
      <c r="B29" s="47">
        <f>(B3-0.027)*B8</f>
        <v>0</v>
      </c>
      <c r="C29" s="844"/>
      <c r="D29" s="798">
        <f t="shared" si="0"/>
        <v>0</v>
      </c>
    </row>
    <row r="30" spans="1:7" ht="12" customHeight="1">
      <c r="A30" s="797" t="s">
        <v>754</v>
      </c>
      <c r="B30" s="47">
        <f>1*B8</f>
        <v>0</v>
      </c>
      <c r="C30" s="844"/>
      <c r="D30" s="798">
        <f t="shared" si="0"/>
        <v>0</v>
      </c>
    </row>
    <row r="31" spans="1:7">
      <c r="A31" s="798" t="s">
        <v>755</v>
      </c>
      <c r="B31" s="47">
        <f>(B3-0.04)*B8</f>
        <v>0</v>
      </c>
      <c r="C31" s="844"/>
      <c r="D31" s="798">
        <f t="shared" si="0"/>
        <v>0</v>
      </c>
    </row>
    <row r="32" spans="1:7">
      <c r="A32" s="798" t="s">
        <v>756</v>
      </c>
      <c r="B32" s="47">
        <f>IF(B11=3,1,0)*B8</f>
        <v>0</v>
      </c>
      <c r="C32" s="844"/>
      <c r="D32" s="798">
        <f t="shared" si="0"/>
        <v>0</v>
      </c>
    </row>
    <row r="33" spans="1:4">
      <c r="A33" s="798" t="s">
        <v>757</v>
      </c>
      <c r="B33" s="47">
        <f>IF(B11=1,1,0)*B8</f>
        <v>0</v>
      </c>
      <c r="C33" s="844"/>
      <c r="D33" s="798">
        <f t="shared" si="0"/>
        <v>0</v>
      </c>
    </row>
    <row r="34" spans="1:4">
      <c r="A34" s="798" t="s">
        <v>758</v>
      </c>
      <c r="B34" s="47">
        <f>3*B8</f>
        <v>0</v>
      </c>
      <c r="C34" s="844"/>
      <c r="D34" s="798">
        <f t="shared" si="0"/>
        <v>0</v>
      </c>
    </row>
    <row r="35" spans="1:4">
      <c r="A35" s="798" t="s">
        <v>759</v>
      </c>
      <c r="B35" s="47">
        <f>IF(B3&lt;1.2,0,IF(B11=1,1,0))*B8</f>
        <v>0</v>
      </c>
      <c r="C35" s="844"/>
      <c r="D35" s="798">
        <f t="shared" si="0"/>
        <v>0</v>
      </c>
    </row>
    <row r="36" spans="1:4">
      <c r="A36" s="798" t="s">
        <v>742</v>
      </c>
      <c r="B36" s="47">
        <f>IF(B14=1,B16,0)*B8</f>
        <v>0</v>
      </c>
      <c r="C36" s="844"/>
      <c r="D36" s="798">
        <f t="shared" si="0"/>
        <v>0</v>
      </c>
    </row>
    <row r="37" spans="1:4">
      <c r="A37" s="798" t="s">
        <v>760</v>
      </c>
      <c r="B37" s="47">
        <f>IF(B11=1,1,2)*B8</f>
        <v>0</v>
      </c>
      <c r="C37" s="844"/>
      <c r="D37" s="798">
        <f t="shared" si="0"/>
        <v>0</v>
      </c>
    </row>
    <row r="38" spans="1:4">
      <c r="A38" s="798" t="s">
        <v>761</v>
      </c>
      <c r="B38" s="47">
        <f>IF(B6=1,IF(B10=2,(B15+1)*2*0.105,0),0)*B8</f>
        <v>0</v>
      </c>
      <c r="C38" s="844"/>
      <c r="D38" s="798">
        <f t="shared" si="0"/>
        <v>0</v>
      </c>
    </row>
    <row r="39" spans="1:4">
      <c r="A39" s="798" t="s">
        <v>762</v>
      </c>
      <c r="B39" s="47">
        <f>IF(B6=1,IF(B10=1,(B15+1)*2*0.105,0),0)*B8</f>
        <v>0</v>
      </c>
      <c r="C39" s="844"/>
      <c r="D39" s="798">
        <f t="shared" si="0"/>
        <v>0</v>
      </c>
    </row>
    <row r="40" spans="1:4">
      <c r="A40" s="798" t="s">
        <v>763</v>
      </c>
      <c r="B40" s="47">
        <f>IF(B6=2,IF(B10=1,B3*1.3,0),0)*B8</f>
        <v>0</v>
      </c>
      <c r="C40" s="844"/>
      <c r="D40" s="798">
        <f t="shared" si="0"/>
        <v>0</v>
      </c>
    </row>
    <row r="41" spans="1:4">
      <c r="A41" s="798" t="s">
        <v>764</v>
      </c>
      <c r="B41" s="47">
        <f>IF(B6=2,IF(B10=2,B3*1.3,0),0)*B8</f>
        <v>0</v>
      </c>
      <c r="C41" s="844"/>
      <c r="D41" s="798">
        <f t="shared" si="0"/>
        <v>0</v>
      </c>
    </row>
    <row r="42" spans="1:4">
      <c r="A42" s="796" t="s">
        <v>771</v>
      </c>
      <c r="B42" s="43">
        <f>((B3*2)+0.3)*B8</f>
        <v>0</v>
      </c>
      <c r="C42" s="844"/>
      <c r="D42" s="798">
        <f t="shared" si="0"/>
        <v>0</v>
      </c>
    </row>
    <row r="43" spans="1:4">
      <c r="A43" s="796" t="s">
        <v>775</v>
      </c>
      <c r="B43" s="43">
        <f>B8</f>
        <v>0</v>
      </c>
      <c r="C43" s="844"/>
      <c r="D43" s="798">
        <f t="shared" si="0"/>
        <v>0</v>
      </c>
    </row>
    <row r="44" spans="1:4">
      <c r="A44" s="807" t="s">
        <v>776</v>
      </c>
      <c r="B44" s="808">
        <f>B8</f>
        <v>0</v>
      </c>
      <c r="C44" s="845"/>
      <c r="D44" s="798">
        <f t="shared" si="0"/>
        <v>0</v>
      </c>
    </row>
    <row r="45" spans="1:4" ht="12" thickBot="1">
      <c r="A45" s="799" t="s">
        <v>765</v>
      </c>
      <c r="B45" s="800">
        <f>B15*(B4+0.045)</f>
        <v>0</v>
      </c>
      <c r="C45" s="846">
        <v>50</v>
      </c>
      <c r="D45" s="799">
        <f t="shared" si="0"/>
        <v>0</v>
      </c>
    </row>
    <row r="46" spans="1:4" ht="12" thickBot="1">
      <c r="A46" s="809"/>
      <c r="B46" s="810"/>
      <c r="C46" s="811" t="s">
        <v>9</v>
      </c>
      <c r="D46" s="812">
        <f>SUM(D19:D45)</f>
        <v>0</v>
      </c>
    </row>
    <row r="47" spans="1:4" ht="12" thickBot="1">
      <c r="A47" s="1044" t="s">
        <v>22</v>
      </c>
      <c r="B47" s="1045"/>
      <c r="C47" s="1045"/>
      <c r="D47" s="1046"/>
    </row>
    <row r="48" spans="1:4">
      <c r="A48" s="801" t="s">
        <v>766</v>
      </c>
      <c r="B48" s="775">
        <f>IF(B7=1,(B3+0.01+0.03)*B8,0)</f>
        <v>0</v>
      </c>
      <c r="C48" s="49"/>
      <c r="D48" s="802"/>
    </row>
    <row r="49" spans="1:4">
      <c r="A49" s="50" t="s">
        <v>767</v>
      </c>
      <c r="B49" s="776">
        <f>IF(B3&lt;0.71,2,IF(B3&lt;1.41,3,IF(B3&lt;2.11,4,IF(B3&lt;2.81,5,IF(B3&lt;3.51,6,IF(B3&lt;4.21,7,8))))))*B8</f>
        <v>0</v>
      </c>
      <c r="C49" s="778"/>
      <c r="D49" s="779"/>
    </row>
    <row r="50" spans="1:4">
      <c r="A50" s="50" t="s">
        <v>768</v>
      </c>
      <c r="B50" s="776">
        <f>2*B8</f>
        <v>0</v>
      </c>
      <c r="C50" s="778"/>
      <c r="D50" s="779"/>
    </row>
    <row r="51" spans="1:4">
      <c r="A51" s="50" t="s">
        <v>769</v>
      </c>
      <c r="B51" s="776">
        <f>B15*B8</f>
        <v>0</v>
      </c>
      <c r="C51" s="778"/>
      <c r="D51" s="779"/>
    </row>
    <row r="52" spans="1:4" ht="12" thickBot="1">
      <c r="A52" s="803" t="s">
        <v>770</v>
      </c>
      <c r="B52" s="780">
        <f>B15*B8</f>
        <v>0</v>
      </c>
      <c r="C52" s="51"/>
      <c r="D52" s="4"/>
    </row>
  </sheetData>
  <sheetProtection algorithmName="SHA-512" hashValue="f5IF+0SajRMyBesOeaZE7dg8bgq0Suj+LEXadFUOF7iAKt4Orqcs0Snvzg/fH66H4TIHhWoti8c3rMeM/fC8ww==" saltValue="VoADNJCfH2KAXpgJlW0SlQ==" spinCount="100000" sheet="1" objects="1" scenarios="1"/>
  <mergeCells count="14">
    <mergeCell ref="C14:D14"/>
    <mergeCell ref="C15:D16"/>
    <mergeCell ref="A47:D47"/>
    <mergeCell ref="C7:D7"/>
    <mergeCell ref="C8:D8"/>
    <mergeCell ref="C10:D10"/>
    <mergeCell ref="C11:D11"/>
    <mergeCell ref="C12:D12"/>
    <mergeCell ref="C13:D13"/>
    <mergeCell ref="A2:D2"/>
    <mergeCell ref="C3:D3"/>
    <mergeCell ref="C4:D4"/>
    <mergeCell ref="C5:D5"/>
    <mergeCell ref="C6:D6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1050" t="s">
        <v>720</v>
      </c>
      <c r="B1" s="1051"/>
      <c r="C1" s="1051"/>
      <c r="D1" s="1051"/>
      <c r="E1" s="732"/>
      <c r="F1" s="69"/>
    </row>
    <row r="2" spans="1:9">
      <c r="A2" s="1103" t="s">
        <v>10</v>
      </c>
      <c r="B2" s="1104"/>
      <c r="C2" s="1104"/>
      <c r="D2" s="734"/>
    </row>
    <row r="3" spans="1:9">
      <c r="A3" s="1101" t="s">
        <v>1</v>
      </c>
      <c r="B3" s="1102"/>
      <c r="C3" s="1102"/>
      <c r="D3" s="735"/>
    </row>
    <row r="4" spans="1:9">
      <c r="A4" s="1101" t="s">
        <v>2</v>
      </c>
      <c r="B4" s="1102"/>
      <c r="C4" s="1102"/>
      <c r="D4" s="736"/>
    </row>
    <row r="5" spans="1:9">
      <c r="A5" s="1101" t="s">
        <v>696</v>
      </c>
      <c r="B5" s="1102"/>
      <c r="C5" s="1102"/>
      <c r="D5" s="736"/>
      <c r="I5" s="733" t="s">
        <v>707</v>
      </c>
    </row>
    <row r="6" spans="1:9">
      <c r="A6" s="1096" t="s">
        <v>568</v>
      </c>
      <c r="B6" s="1097"/>
      <c r="C6" s="1098"/>
      <c r="D6" s="736"/>
      <c r="I6" s="733" t="s">
        <v>708</v>
      </c>
    </row>
    <row r="7" spans="1:9">
      <c r="A7" s="1101" t="s">
        <v>130</v>
      </c>
      <c r="B7" s="1102"/>
      <c r="C7" s="1102"/>
      <c r="D7" s="759"/>
      <c r="I7" s="733"/>
    </row>
    <row r="8" spans="1:9" ht="12" thickBot="1">
      <c r="A8" s="1099" t="s">
        <v>571</v>
      </c>
      <c r="B8" s="1100"/>
      <c r="C8" s="1100"/>
      <c r="D8" s="737"/>
      <c r="E8" s="13"/>
      <c r="F8" s="69"/>
      <c r="I8" s="733" t="s">
        <v>709</v>
      </c>
    </row>
    <row r="9" spans="1:9">
      <c r="A9" s="765"/>
      <c r="B9" s="766"/>
      <c r="C9" s="766"/>
      <c r="D9" s="767"/>
      <c r="E9" s="13"/>
      <c r="F9" s="69"/>
      <c r="I9" s="733"/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 ht="12" customHeight="1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49" t="s">
        <v>711</v>
      </c>
      <c r="B13" s="740"/>
      <c r="C13" s="121">
        <f>D4</f>
        <v>0</v>
      </c>
      <c r="D13" s="26">
        <f t="shared" ref="D13:D27" si="0">C13*B13</f>
        <v>0</v>
      </c>
      <c r="F13" s="69"/>
    </row>
    <row r="14" spans="1:9">
      <c r="A14" s="739" t="s">
        <v>697</v>
      </c>
      <c r="B14" s="740"/>
      <c r="C14" s="121">
        <f>IF(D2&gt;0,(D2-0.016)*D4,0)</f>
        <v>0</v>
      </c>
      <c r="D14" s="26">
        <f t="shared" si="0"/>
        <v>0</v>
      </c>
      <c r="F14" s="756"/>
    </row>
    <row r="15" spans="1:9">
      <c r="A15" s="739" t="s">
        <v>698</v>
      </c>
      <c r="B15" s="740"/>
      <c r="C15" s="744">
        <f>IF(D2&gt;0,(D2-0.02)*D4,0)</f>
        <v>0</v>
      </c>
      <c r="D15" s="26">
        <f t="shared" si="0"/>
        <v>0</v>
      </c>
      <c r="F15" s="69"/>
    </row>
    <row r="16" spans="1:9">
      <c r="A16" s="739" t="s">
        <v>714</v>
      </c>
      <c r="B16" s="740"/>
      <c r="C16" s="744">
        <f>IF(D3&gt;0,(D3-0.035)*2*D4,0)</f>
        <v>0</v>
      </c>
      <c r="D16" s="26">
        <f t="shared" si="0"/>
        <v>0</v>
      </c>
      <c r="F16" s="69"/>
    </row>
    <row r="17" spans="1:6">
      <c r="A17" s="739" t="s">
        <v>719</v>
      </c>
      <c r="B17" s="740"/>
      <c r="C17" s="744">
        <f>IF(D2&gt;0,(D2-0.022)*D4,0)</f>
        <v>0</v>
      </c>
      <c r="D17" s="26">
        <f t="shared" si="0"/>
        <v>0</v>
      </c>
      <c r="F17" s="69"/>
    </row>
    <row r="18" spans="1:6">
      <c r="A18" s="739" t="s">
        <v>18</v>
      </c>
      <c r="B18" s="740"/>
      <c r="C18" s="744">
        <f>IF(D3&gt;0,(D3-0.035)*2*D4,0)</f>
        <v>0</v>
      </c>
      <c r="D18" s="26">
        <f t="shared" si="0"/>
        <v>0</v>
      </c>
      <c r="F18" s="69"/>
    </row>
    <row r="19" spans="1:6">
      <c r="A19" s="739" t="s">
        <v>19</v>
      </c>
      <c r="B19" s="745"/>
      <c r="C19" s="744">
        <f>IF(D2&gt;0,(D2-0.016)*D4,0)</f>
        <v>0</v>
      </c>
      <c r="D19" s="26">
        <f t="shared" si="0"/>
        <v>0</v>
      </c>
      <c r="F19" s="69"/>
    </row>
    <row r="20" spans="1:6">
      <c r="A20" s="739" t="s">
        <v>20</v>
      </c>
      <c r="B20" s="745"/>
      <c r="C20" s="744">
        <f>IF(D2&gt;0,(D2-0.022)*D4,0)</f>
        <v>0</v>
      </c>
      <c r="D20" s="26">
        <f t="shared" si="0"/>
        <v>0</v>
      </c>
      <c r="F20" s="69"/>
    </row>
    <row r="21" spans="1:6">
      <c r="A21" s="739" t="s">
        <v>715</v>
      </c>
      <c r="B21" s="746"/>
      <c r="C21" s="747">
        <f>D4</f>
        <v>0</v>
      </c>
      <c r="D21" s="748">
        <f t="shared" si="0"/>
        <v>0</v>
      </c>
      <c r="F21" s="69"/>
    </row>
    <row r="22" spans="1:6">
      <c r="A22" s="739" t="s">
        <v>716</v>
      </c>
      <c r="B22" s="746"/>
      <c r="C22" s="747">
        <f>D4</f>
        <v>0</v>
      </c>
      <c r="D22" s="748">
        <f t="shared" si="0"/>
        <v>0</v>
      </c>
      <c r="F22" s="69"/>
    </row>
    <row r="23" spans="1:6">
      <c r="A23" s="739" t="s">
        <v>566</v>
      </c>
      <c r="B23" s="746"/>
      <c r="C23" s="747">
        <f>D4</f>
        <v>0</v>
      </c>
      <c r="D23" s="748">
        <f t="shared" si="0"/>
        <v>0</v>
      </c>
      <c r="F23" s="69"/>
    </row>
    <row r="24" spans="1:6">
      <c r="A24" s="739" t="s">
        <v>570</v>
      </c>
      <c r="B24" s="746"/>
      <c r="C24" s="747">
        <f>D8</f>
        <v>0</v>
      </c>
      <c r="D24" s="748">
        <f t="shared" si="0"/>
        <v>0</v>
      </c>
      <c r="F24" s="69"/>
    </row>
    <row r="25" spans="1:6">
      <c r="A25" s="739" t="s">
        <v>569</v>
      </c>
      <c r="B25" s="746"/>
      <c r="C25" s="747">
        <f>D7</f>
        <v>0</v>
      </c>
      <c r="D25" s="748">
        <f t="shared" si="0"/>
        <v>0</v>
      </c>
      <c r="E25" s="13"/>
      <c r="F25" s="69"/>
    </row>
    <row r="26" spans="1:6">
      <c r="A26" s="739" t="s">
        <v>567</v>
      </c>
      <c r="B26" s="740"/>
      <c r="C26" s="121">
        <f>D6</f>
        <v>0</v>
      </c>
      <c r="D26" s="26">
        <f t="shared" si="0"/>
        <v>0</v>
      </c>
      <c r="E26" s="13"/>
      <c r="F26" s="69"/>
    </row>
    <row r="27" spans="1:6" ht="12" thickBot="1">
      <c r="A27" s="758" t="s">
        <v>717</v>
      </c>
      <c r="B27" s="768"/>
      <c r="C27" s="769">
        <f>IF(D2&gt;0,(D2-0.02)*D4,0)</f>
        <v>0</v>
      </c>
      <c r="D27" s="770">
        <f t="shared" si="0"/>
        <v>0</v>
      </c>
      <c r="E27" s="13"/>
      <c r="F27" s="69"/>
    </row>
    <row r="28" spans="1:6" ht="12" thickBot="1">
      <c r="A28" s="753" t="s">
        <v>703</v>
      </c>
      <c r="B28" s="861"/>
      <c r="C28" s="13"/>
      <c r="D28" s="757"/>
      <c r="E28" s="13"/>
      <c r="F28" s="69"/>
    </row>
    <row r="29" spans="1:6" ht="12" thickBot="1">
      <c r="A29" s="16"/>
      <c r="B29" s="861"/>
      <c r="C29" s="13"/>
      <c r="D29" s="13"/>
      <c r="E29" s="69"/>
    </row>
    <row r="30" spans="1:6">
      <c r="A30" s="36" t="s">
        <v>35</v>
      </c>
      <c r="B30" s="863"/>
      <c r="C30" s="21"/>
      <c r="D30" s="101"/>
    </row>
    <row r="31" spans="1:6" ht="12" thickBot="1">
      <c r="A31" s="751" t="s">
        <v>25</v>
      </c>
      <c r="B31" s="752"/>
      <c r="C31" s="755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53" t="s">
        <v>703</v>
      </c>
      <c r="B32" s="861"/>
      <c r="C32" s="13"/>
      <c r="D32" s="754"/>
    </row>
    <row r="33" spans="1:4">
      <c r="A33" s="40"/>
      <c r="B33" s="861"/>
      <c r="C33" s="13"/>
      <c r="D33" s="13"/>
    </row>
    <row r="34" spans="1:4">
      <c r="A34" s="18" t="s">
        <v>706</v>
      </c>
      <c r="B34" s="861"/>
      <c r="C34" s="13"/>
      <c r="D34" s="13"/>
    </row>
    <row r="35" spans="1:4" ht="12" thickBot="1">
      <c r="A35" s="18"/>
      <c r="B35" s="861"/>
      <c r="C35" s="13"/>
      <c r="D35" s="13"/>
    </row>
    <row r="36" spans="1:4" ht="12" thickBot="1">
      <c r="A36" s="760" t="s">
        <v>712</v>
      </c>
      <c r="B36" s="761"/>
      <c r="C36" s="762">
        <f>D4</f>
        <v>0</v>
      </c>
      <c r="D36" s="763">
        <f>C36*B36</f>
        <v>0</v>
      </c>
    </row>
    <row r="37" spans="1:4" ht="12" thickBot="1">
      <c r="A37" s="753" t="s">
        <v>703</v>
      </c>
      <c r="B37" s="13"/>
      <c r="C37" s="13"/>
      <c r="D37" s="754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1030" t="s">
        <v>133</v>
      </c>
      <c r="B1" s="1031"/>
      <c r="C1" s="1031"/>
      <c r="D1" s="1031"/>
      <c r="E1" s="1085"/>
    </row>
    <row r="2" spans="1:12" ht="15" thickBot="1">
      <c r="A2" s="1086" t="s">
        <v>3</v>
      </c>
      <c r="B2" s="1087"/>
      <c r="C2" s="1087"/>
      <c r="D2" s="1087"/>
      <c r="E2" s="1088"/>
    </row>
    <row r="3" spans="1:12">
      <c r="A3" s="44" t="s">
        <v>6</v>
      </c>
      <c r="B3" s="878">
        <v>0.6</v>
      </c>
      <c r="C3" s="1032" t="s">
        <v>30</v>
      </c>
      <c r="D3" s="1090"/>
      <c r="E3" s="1033"/>
      <c r="G3" s="1052" t="s">
        <v>122</v>
      </c>
      <c r="H3" s="1053"/>
      <c r="I3" s="1053"/>
      <c r="J3" s="1053"/>
      <c r="K3" s="1053"/>
      <c r="L3" s="1054"/>
    </row>
    <row r="4" spans="1:12" ht="12" thickBot="1">
      <c r="A4" s="45" t="s">
        <v>1</v>
      </c>
      <c r="B4" s="879">
        <v>1.6</v>
      </c>
      <c r="C4" s="1106" t="s">
        <v>30</v>
      </c>
      <c r="D4" s="1092"/>
      <c r="E4" s="1093"/>
      <c r="G4" s="1055"/>
      <c r="H4" s="1056"/>
      <c r="I4" s="1056"/>
      <c r="J4" s="1056"/>
      <c r="K4" s="1056"/>
      <c r="L4" s="1057"/>
    </row>
    <row r="5" spans="1:12">
      <c r="A5" s="45" t="s">
        <v>36</v>
      </c>
      <c r="B5" s="879">
        <v>2</v>
      </c>
      <c r="C5" s="1105" t="s">
        <v>37</v>
      </c>
      <c r="D5" s="1094"/>
      <c r="E5" s="1095"/>
    </row>
    <row r="6" spans="1:12">
      <c r="A6" s="45" t="s">
        <v>31</v>
      </c>
      <c r="B6" s="880">
        <v>1</v>
      </c>
      <c r="C6" s="1105" t="s">
        <v>33</v>
      </c>
      <c r="D6" s="1081"/>
      <c r="E6" s="1082"/>
    </row>
    <row r="7" spans="1:12">
      <c r="A7" s="45" t="s">
        <v>137</v>
      </c>
      <c r="B7" s="880">
        <v>2</v>
      </c>
      <c r="C7" s="1036" t="s">
        <v>138</v>
      </c>
      <c r="D7" s="1110"/>
      <c r="E7" s="1111"/>
    </row>
    <row r="8" spans="1:12" ht="24" customHeight="1">
      <c r="A8" s="48" t="s">
        <v>32</v>
      </c>
      <c r="B8" s="881">
        <v>2</v>
      </c>
      <c r="C8" s="1049" t="s">
        <v>34</v>
      </c>
      <c r="D8" s="1076"/>
      <c r="E8" s="1048"/>
    </row>
    <row r="9" spans="1:12">
      <c r="A9" s="136" t="s">
        <v>53</v>
      </c>
      <c r="B9" s="882">
        <v>1</v>
      </c>
      <c r="C9" s="1112" t="s">
        <v>30</v>
      </c>
      <c r="D9" s="1113"/>
      <c r="E9" s="1114"/>
    </row>
    <row r="10" spans="1:12">
      <c r="A10" s="150" t="s">
        <v>571</v>
      </c>
      <c r="B10" s="882">
        <v>1</v>
      </c>
      <c r="C10" s="1115"/>
      <c r="D10" s="1116"/>
      <c r="E10" s="1117"/>
    </row>
    <row r="11" spans="1:12" ht="12" thickBot="1">
      <c r="A11" s="9" t="s">
        <v>568</v>
      </c>
      <c r="B11" s="883">
        <v>50</v>
      </c>
      <c r="C11" s="1107"/>
      <c r="D11" s="1108"/>
      <c r="E11" s="1109"/>
    </row>
    <row r="12" spans="1:12" ht="12" thickBot="1"/>
    <row r="13" spans="1:12" ht="12.75">
      <c r="A13" s="291" t="s">
        <v>7</v>
      </c>
      <c r="B13" s="292" t="s">
        <v>85</v>
      </c>
      <c r="C13" s="292" t="s">
        <v>0</v>
      </c>
      <c r="D13" s="56" t="s">
        <v>4</v>
      </c>
      <c r="E13" s="293" t="s">
        <v>8</v>
      </c>
    </row>
    <row r="14" spans="1:12">
      <c r="A14" s="23" t="s">
        <v>578</v>
      </c>
      <c r="B14" s="288"/>
      <c r="C14" s="290">
        <f>(IF(B5=2,B3-0.031,B3+0.005))*B9</f>
        <v>0.56899999999999995</v>
      </c>
      <c r="D14" s="832">
        <v>9</v>
      </c>
      <c r="E14" s="58">
        <f t="shared" ref="E14:E27" si="0">C14*D14</f>
        <v>5.1209999999999996</v>
      </c>
    </row>
    <row r="15" spans="1:12">
      <c r="A15" s="50" t="s">
        <v>112</v>
      </c>
      <c r="B15" s="288"/>
      <c r="C15" s="290">
        <f>2*B9</f>
        <v>2</v>
      </c>
      <c r="D15" s="832"/>
      <c r="E15" s="58">
        <f t="shared" si="0"/>
        <v>0</v>
      </c>
    </row>
    <row r="16" spans="1:12">
      <c r="A16" s="27" t="s">
        <v>108</v>
      </c>
      <c r="B16" s="288"/>
      <c r="C16" s="290">
        <f>(IF(B5=1,B3,B3-0.036))*B9</f>
        <v>0.56399999999999995</v>
      </c>
      <c r="D16" s="832"/>
      <c r="E16" s="58">
        <f t="shared" si="0"/>
        <v>0</v>
      </c>
    </row>
    <row r="17" spans="1:5">
      <c r="A17" s="23" t="s">
        <v>50</v>
      </c>
      <c r="B17" s="288"/>
      <c r="C17" s="290">
        <f>C14</f>
        <v>0.56899999999999995</v>
      </c>
      <c r="D17" s="832"/>
      <c r="E17" s="58">
        <f t="shared" si="0"/>
        <v>0</v>
      </c>
    </row>
    <row r="18" spans="1:5">
      <c r="A18" s="23" t="s">
        <v>49</v>
      </c>
      <c r="B18" s="288"/>
      <c r="C18" s="290">
        <f>C16</f>
        <v>0.56399999999999995</v>
      </c>
      <c r="D18" s="832"/>
      <c r="E18" s="58">
        <f t="shared" si="0"/>
        <v>0</v>
      </c>
    </row>
    <row r="19" spans="1:5">
      <c r="A19" s="50" t="s">
        <v>113</v>
      </c>
      <c r="B19" s="288"/>
      <c r="C19" s="289">
        <f>B3*B9</f>
        <v>0.6</v>
      </c>
      <c r="D19" s="829"/>
      <c r="E19" s="142">
        <f t="shared" si="0"/>
        <v>0</v>
      </c>
    </row>
    <row r="20" spans="1:5">
      <c r="A20" s="50" t="s">
        <v>114</v>
      </c>
      <c r="B20" s="288"/>
      <c r="C20" s="289">
        <f>B9*2</f>
        <v>2</v>
      </c>
      <c r="D20" s="829"/>
      <c r="E20" s="142">
        <f t="shared" si="0"/>
        <v>0</v>
      </c>
    </row>
    <row r="21" spans="1:5">
      <c r="A21" s="99" t="s">
        <v>40</v>
      </c>
      <c r="B21" s="288"/>
      <c r="C21" s="290">
        <f>(IF(B6=1,B4*2+0.2,0))*B9</f>
        <v>3.4000000000000004</v>
      </c>
      <c r="D21" s="832"/>
      <c r="E21" s="58">
        <f t="shared" si="0"/>
        <v>0</v>
      </c>
    </row>
    <row r="22" spans="1:5">
      <c r="A22" s="100" t="s">
        <v>135</v>
      </c>
      <c r="B22" s="288"/>
      <c r="C22" s="290">
        <f>(IF(B6=1,2,0))*B9</f>
        <v>2</v>
      </c>
      <c r="D22" s="832"/>
      <c r="E22" s="58">
        <f t="shared" si="0"/>
        <v>0</v>
      </c>
    </row>
    <row r="23" spans="1:5">
      <c r="A23" s="50" t="s">
        <v>111</v>
      </c>
      <c r="B23" s="288"/>
      <c r="C23" s="290">
        <f>(IF(B8=3,2,0))*B9</f>
        <v>0</v>
      </c>
      <c r="D23" s="832"/>
      <c r="E23" s="58">
        <f t="shared" si="0"/>
        <v>0</v>
      </c>
    </row>
    <row r="24" spans="1:5">
      <c r="A24" s="50" t="s">
        <v>110</v>
      </c>
      <c r="B24" s="288"/>
      <c r="C24" s="290">
        <f>(IF(B8=3,2,0))*B9</f>
        <v>0</v>
      </c>
      <c r="D24" s="832"/>
      <c r="E24" s="58">
        <f t="shared" si="0"/>
        <v>0</v>
      </c>
    </row>
    <row r="25" spans="1:5">
      <c r="A25" s="100" t="s">
        <v>136</v>
      </c>
      <c r="B25" s="288"/>
      <c r="C25" s="290">
        <f>(IF(B8=3,(IF(B7=2,2,0)),0))*B9</f>
        <v>0</v>
      </c>
      <c r="D25" s="832"/>
      <c r="E25" s="58"/>
    </row>
    <row r="26" spans="1:5">
      <c r="A26" s="100" t="s">
        <v>134</v>
      </c>
      <c r="B26" s="288"/>
      <c r="C26" s="290">
        <f>(IF(B8=2,2,0))*B9</f>
        <v>2</v>
      </c>
      <c r="D26" s="832"/>
      <c r="E26" s="58">
        <f t="shared" si="0"/>
        <v>0</v>
      </c>
    </row>
    <row r="27" spans="1:5">
      <c r="A27" s="50" t="s">
        <v>109</v>
      </c>
      <c r="B27" s="288"/>
      <c r="C27" s="290">
        <f>(IF(B8=2,2,0))*B9</f>
        <v>2</v>
      </c>
      <c r="D27" s="832"/>
      <c r="E27" s="58">
        <f t="shared" si="0"/>
        <v>0</v>
      </c>
    </row>
    <row r="28" spans="1:5">
      <c r="A28" s="50" t="s">
        <v>232</v>
      </c>
      <c r="B28" s="288"/>
      <c r="C28" s="290">
        <f>B9</f>
        <v>1</v>
      </c>
      <c r="D28" s="832"/>
      <c r="E28" s="58">
        <f>C28*D28</f>
        <v>0</v>
      </c>
    </row>
    <row r="29" spans="1:5">
      <c r="A29" s="23" t="s">
        <v>566</v>
      </c>
      <c r="B29" s="24"/>
      <c r="C29" s="133">
        <f>B9</f>
        <v>1</v>
      </c>
      <c r="D29" s="875"/>
      <c r="E29" s="138">
        <f>D29*C29</f>
        <v>0</v>
      </c>
    </row>
    <row r="30" spans="1:5">
      <c r="A30" s="131" t="s">
        <v>579</v>
      </c>
      <c r="B30" s="125"/>
      <c r="C30" s="134">
        <f>B10</f>
        <v>1</v>
      </c>
      <c r="D30" s="876"/>
      <c r="E30" s="139">
        <f>C30*D30</f>
        <v>0</v>
      </c>
    </row>
    <row r="31" spans="1:5" ht="12" thickBot="1">
      <c r="A31" s="23" t="s">
        <v>569</v>
      </c>
      <c r="B31" s="132"/>
      <c r="C31" s="135">
        <f>B11</f>
        <v>50</v>
      </c>
      <c r="D31" s="877"/>
      <c r="E31" s="140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11:E11"/>
    <mergeCell ref="C6:E6"/>
    <mergeCell ref="C7:E7"/>
    <mergeCell ref="C8:E8"/>
    <mergeCell ref="C9:E9"/>
    <mergeCell ref="C10:E10"/>
    <mergeCell ref="C5:E5"/>
    <mergeCell ref="A1:E1"/>
    <mergeCell ref="A2:E2"/>
    <mergeCell ref="C3:E3"/>
    <mergeCell ref="G3:L4"/>
    <mergeCell ref="C4:E4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1030" t="s">
        <v>161</v>
      </c>
      <c r="B1" s="1031"/>
      <c r="C1" s="1031"/>
      <c r="D1" s="1031"/>
      <c r="E1" s="1085"/>
    </row>
    <row r="2" spans="1:12" ht="15" thickBot="1">
      <c r="A2" s="1086" t="s">
        <v>3</v>
      </c>
      <c r="B2" s="1087"/>
      <c r="C2" s="1087"/>
      <c r="D2" s="1087"/>
      <c r="E2" s="1088"/>
      <c r="G2" s="1052" t="s">
        <v>122</v>
      </c>
      <c r="H2" s="1053"/>
      <c r="I2" s="1053"/>
      <c r="J2" s="1053"/>
      <c r="K2" s="1053"/>
      <c r="L2" s="1054"/>
    </row>
    <row r="3" spans="1:12" ht="12" thickBot="1">
      <c r="A3" s="44" t="s">
        <v>6</v>
      </c>
      <c r="B3" s="878">
        <v>3</v>
      </c>
      <c r="C3" s="1032" t="s">
        <v>30</v>
      </c>
      <c r="D3" s="1090"/>
      <c r="E3" s="1033"/>
      <c r="G3" s="1055"/>
      <c r="H3" s="1056"/>
      <c r="I3" s="1056"/>
      <c r="J3" s="1056"/>
      <c r="K3" s="1056"/>
      <c r="L3" s="1057"/>
    </row>
    <row r="4" spans="1:12">
      <c r="A4" s="45" t="s">
        <v>1</v>
      </c>
      <c r="B4" s="884">
        <v>1</v>
      </c>
      <c r="C4" s="1126" t="s">
        <v>30</v>
      </c>
      <c r="D4" s="1121"/>
      <c r="E4" s="1122"/>
    </row>
    <row r="5" spans="1:12">
      <c r="A5" s="45" t="s">
        <v>60</v>
      </c>
      <c r="B5" s="884">
        <v>25</v>
      </c>
      <c r="C5" s="1120" t="s">
        <v>61</v>
      </c>
      <c r="D5" s="1127"/>
      <c r="E5" s="1128"/>
    </row>
    <row r="6" spans="1:12">
      <c r="A6" s="45" t="s">
        <v>55</v>
      </c>
      <c r="B6" s="885">
        <v>0</v>
      </c>
      <c r="C6" s="1118" t="s">
        <v>33</v>
      </c>
      <c r="D6" s="1102"/>
      <c r="E6" s="1119"/>
      <c r="H6" s="69"/>
      <c r="I6" s="69"/>
      <c r="J6" s="69"/>
    </row>
    <row r="7" spans="1:12">
      <c r="A7" s="46" t="s">
        <v>59</v>
      </c>
      <c r="B7" s="886">
        <v>0</v>
      </c>
      <c r="C7" s="1120" t="s">
        <v>33</v>
      </c>
      <c r="D7" s="1121"/>
      <c r="E7" s="1122"/>
      <c r="H7" s="69"/>
      <c r="I7" s="69"/>
      <c r="J7" s="69"/>
    </row>
    <row r="8" spans="1:12">
      <c r="A8" s="46" t="s">
        <v>56</v>
      </c>
      <c r="B8" s="886">
        <v>0</v>
      </c>
      <c r="C8" s="1120" t="s">
        <v>33</v>
      </c>
      <c r="D8" s="1121"/>
      <c r="E8" s="1122"/>
      <c r="H8" s="70"/>
      <c r="I8" s="69"/>
      <c r="J8" s="69"/>
    </row>
    <row r="9" spans="1:12">
      <c r="A9" s="46" t="s">
        <v>57</v>
      </c>
      <c r="B9" s="887">
        <v>1</v>
      </c>
      <c r="C9" s="1118" t="s">
        <v>33</v>
      </c>
      <c r="D9" s="1102"/>
      <c r="E9" s="1119"/>
      <c r="H9" s="69"/>
      <c r="I9" s="69"/>
      <c r="J9" s="69"/>
    </row>
    <row r="10" spans="1:12">
      <c r="A10" s="46" t="s">
        <v>162</v>
      </c>
      <c r="B10" s="887">
        <v>1</v>
      </c>
      <c r="C10" s="1138"/>
      <c r="D10" s="1139"/>
      <c r="E10" s="1140"/>
      <c r="H10" s="69"/>
      <c r="I10" s="69"/>
      <c r="J10" s="69"/>
    </row>
    <row r="11" spans="1:12">
      <c r="A11" s="136" t="s">
        <v>53</v>
      </c>
      <c r="B11" s="888">
        <v>1</v>
      </c>
      <c r="C11" s="1135" t="s">
        <v>30</v>
      </c>
      <c r="D11" s="1136"/>
      <c r="E11" s="1137"/>
      <c r="H11" s="69"/>
      <c r="I11" s="69"/>
      <c r="J11" s="69"/>
    </row>
    <row r="12" spans="1:12">
      <c r="A12" s="150" t="s">
        <v>157</v>
      </c>
      <c r="B12" s="888">
        <v>1</v>
      </c>
      <c r="C12" s="155"/>
      <c r="D12" s="155"/>
      <c r="E12" s="156"/>
      <c r="H12" s="69"/>
      <c r="I12" s="69"/>
      <c r="J12" s="69"/>
    </row>
    <row r="13" spans="1:12">
      <c r="A13" s="150" t="s">
        <v>144</v>
      </c>
      <c r="B13" s="888">
        <v>2</v>
      </c>
      <c r="C13" s="155"/>
      <c r="D13" s="155"/>
      <c r="E13" s="156"/>
      <c r="H13" s="69"/>
      <c r="I13" s="69"/>
      <c r="J13" s="69"/>
    </row>
    <row r="14" spans="1:12" ht="12" thickBot="1">
      <c r="A14" s="137" t="s">
        <v>147</v>
      </c>
      <c r="B14" s="889">
        <v>3</v>
      </c>
      <c r="C14" s="1129"/>
      <c r="D14" s="1130"/>
      <c r="E14" s="1131"/>
      <c r="H14" s="69"/>
      <c r="I14" s="69"/>
      <c r="J14" s="69"/>
    </row>
    <row r="15" spans="1:12">
      <c r="A15" s="59" t="s">
        <v>62</v>
      </c>
      <c r="B15" s="890">
        <f>IF(B5=25,IF(B3&lt;0.806,2,IF(B3&lt;1.3,3,IF(B3&lt;1.801,4,IF(B3&lt;2.301,5,IF(B3&lt;2.801,6,7))))),IF(B3&lt;=0.55,2,IF(B3&lt;=0.9,3,IF(B3&lt;=1.25,4,IF(B3&lt;=1.6,5,IF(B3&lt;=1.95,6,7))))))</f>
        <v>7</v>
      </c>
      <c r="C15" s="1132" t="s">
        <v>29</v>
      </c>
      <c r="D15" s="1133"/>
      <c r="E15" s="1134"/>
      <c r="G15" s="71"/>
      <c r="H15" s="69"/>
      <c r="I15" s="69"/>
      <c r="J15" s="69"/>
    </row>
    <row r="16" spans="1:12" ht="12" thickBot="1">
      <c r="H16" s="69"/>
      <c r="I16" s="69"/>
      <c r="J16" s="69"/>
    </row>
    <row r="17" spans="1:10" ht="13.5" thickBot="1">
      <c r="A17" s="60" t="s">
        <v>7</v>
      </c>
      <c r="B17" s="61" t="s">
        <v>0</v>
      </c>
      <c r="C17" s="62" t="s">
        <v>4</v>
      </c>
      <c r="D17" s="63" t="s">
        <v>8</v>
      </c>
      <c r="H17" s="69"/>
      <c r="I17" s="69"/>
      <c r="J17" s="69"/>
    </row>
    <row r="18" spans="1:10">
      <c r="A18" s="76" t="s">
        <v>65</v>
      </c>
      <c r="B18" s="77">
        <f>(IF(B15=2,((B4+0.3)*2),IF(B15=3,((B4+0.3)*2),IF(B15=4,((B4+0.3)*4),IF(B15=5,((B4+0.3)*3),((B4+0.3)*4))))))*B11</f>
        <v>5.2</v>
      </c>
      <c r="C18" s="891">
        <v>9</v>
      </c>
      <c r="D18" s="147">
        <f t="shared" ref="D18:D47" si="0">B18*C18</f>
        <v>46.800000000000004</v>
      </c>
      <c r="H18" s="69"/>
      <c r="I18" s="69"/>
      <c r="J18" s="69"/>
    </row>
    <row r="19" spans="1:10">
      <c r="A19" s="78" t="s">
        <v>66</v>
      </c>
      <c r="B19" s="80">
        <f>IF(B8=1,2*B11,0)</f>
        <v>0</v>
      </c>
      <c r="C19" s="832"/>
      <c r="D19" s="64">
        <f t="shared" si="0"/>
        <v>0</v>
      </c>
    </row>
    <row r="20" spans="1:10">
      <c r="A20" s="78" t="s">
        <v>67</v>
      </c>
      <c r="B20" s="80">
        <f>B15*B11</f>
        <v>7</v>
      </c>
      <c r="C20" s="832"/>
      <c r="D20" s="64">
        <f t="shared" si="0"/>
        <v>0</v>
      </c>
    </row>
    <row r="21" spans="1:10">
      <c r="A21" s="159" t="s">
        <v>158</v>
      </c>
      <c r="B21" s="80">
        <f>B15*B11</f>
        <v>7</v>
      </c>
      <c r="C21" s="832"/>
      <c r="D21" s="64">
        <f t="shared" si="0"/>
        <v>0</v>
      </c>
    </row>
    <row r="22" spans="1:10">
      <c r="A22" s="78" t="s">
        <v>68</v>
      </c>
      <c r="B22" s="80">
        <f>(B3-0.002)*B11</f>
        <v>2.9980000000000002</v>
      </c>
      <c r="C22" s="832"/>
      <c r="D22" s="64">
        <f t="shared" si="0"/>
        <v>0</v>
      </c>
    </row>
    <row r="23" spans="1:10">
      <c r="A23" s="81" t="s">
        <v>69</v>
      </c>
      <c r="B23" s="80">
        <f>B22</f>
        <v>2.9980000000000002</v>
      </c>
      <c r="C23" s="832"/>
      <c r="D23" s="64">
        <f t="shared" si="0"/>
        <v>0</v>
      </c>
    </row>
    <row r="24" spans="1:10">
      <c r="A24" s="81" t="s">
        <v>70</v>
      </c>
      <c r="B24" s="80">
        <f>IF(B5=16,B11*B15,0)</f>
        <v>0</v>
      </c>
      <c r="C24" s="832"/>
      <c r="D24" s="64">
        <f t="shared" si="0"/>
        <v>0</v>
      </c>
      <c r="G24" s="71"/>
    </row>
    <row r="25" spans="1:10">
      <c r="A25" s="81" t="s">
        <v>71</v>
      </c>
      <c r="B25" s="80">
        <f>IF(B5=25,B11*B15,0)</f>
        <v>7</v>
      </c>
      <c r="C25" s="832"/>
      <c r="D25" s="64">
        <f>B25*C25</f>
        <v>0</v>
      </c>
      <c r="G25" s="71"/>
    </row>
    <row r="26" spans="1:10">
      <c r="A26" s="81" t="s">
        <v>72</v>
      </c>
      <c r="B26" s="80">
        <f>(IF(B3&lt;1.5,2,IF(B3&lt;1.8,3,IF(B3&lt;2.3,4,IF(B3&lt;2.8,5,6)))))*B11</f>
        <v>6</v>
      </c>
      <c r="C26" s="832"/>
      <c r="D26" s="64">
        <f t="shared" si="0"/>
        <v>0</v>
      </c>
    </row>
    <row r="27" spans="1:10">
      <c r="A27" s="81" t="s">
        <v>73</v>
      </c>
      <c r="B27" s="80">
        <f>(IF(B9=0,0,IF(B3&lt;1.5,2,IF(B3&lt;1.8,3,IF(B3&lt;2.3,4,IF(B3&lt;2.8,5,6))))))*B11</f>
        <v>6</v>
      </c>
      <c r="C27" s="832"/>
      <c r="D27" s="64">
        <f t="shared" si="0"/>
        <v>0</v>
      </c>
    </row>
    <row r="28" spans="1:10">
      <c r="A28" s="82" t="s">
        <v>74</v>
      </c>
      <c r="B28" s="72">
        <f>2*B11</f>
        <v>2</v>
      </c>
      <c r="C28" s="832"/>
      <c r="D28" s="64">
        <f t="shared" si="0"/>
        <v>0</v>
      </c>
    </row>
    <row r="29" spans="1:10">
      <c r="A29" s="82" t="s">
        <v>75</v>
      </c>
      <c r="B29" s="72">
        <f>B28</f>
        <v>2</v>
      </c>
      <c r="C29" s="832"/>
      <c r="D29" s="64">
        <f t="shared" si="0"/>
        <v>0</v>
      </c>
    </row>
    <row r="30" spans="1:10">
      <c r="A30" s="160" t="s">
        <v>517</v>
      </c>
      <c r="B30" s="72">
        <f>(IF(B5=25,IF(B9=1,CEILING(((B4-0.025)/0.0215)*B3,1)+B3*2,CEILING(((B4-0.025)/0.0215)*B3,1)),IF(B9=1,CEILING(((B4-0.025)/0.0125)*B3,1)+B3*2,CEILING(((B4-0.025)/0.0125)*B3,1)))+0.2)*B11</f>
        <v>143.19999999999999</v>
      </c>
      <c r="C30" s="832"/>
      <c r="D30" s="64">
        <f t="shared" si="0"/>
        <v>0</v>
      </c>
    </row>
    <row r="31" spans="1:10">
      <c r="A31" s="83" t="s">
        <v>76</v>
      </c>
      <c r="B31" s="72">
        <f>IF(B5=16,(B15*(B4+0.12))*B11,0)</f>
        <v>0</v>
      </c>
      <c r="C31" s="832"/>
      <c r="D31" s="64">
        <f t="shared" si="0"/>
        <v>0</v>
      </c>
      <c r="G31" s="71"/>
    </row>
    <row r="32" spans="1:10">
      <c r="A32" s="82" t="s">
        <v>77</v>
      </c>
      <c r="B32" s="72">
        <f>IF(B5=25,(B15*(B4+0.3))*B11,0)</f>
        <v>9.1</v>
      </c>
      <c r="C32" s="832"/>
      <c r="D32" s="64">
        <f t="shared" si="0"/>
        <v>0</v>
      </c>
      <c r="G32" s="71"/>
    </row>
    <row r="33" spans="1:5">
      <c r="A33" s="160" t="s">
        <v>159</v>
      </c>
      <c r="B33" s="72">
        <f>(B3)*B11</f>
        <v>3</v>
      </c>
      <c r="C33" s="832"/>
      <c r="D33" s="64">
        <f t="shared" si="0"/>
        <v>0</v>
      </c>
    </row>
    <row r="34" spans="1:5">
      <c r="A34" s="160" t="s">
        <v>166</v>
      </c>
      <c r="B34" s="72">
        <f>IF(B10&gt;0,(IF(B3&lt;1.5,2,IF(B3&lt;1.8,3,IF(B3&lt;2.3,4,IF(B3&lt;2.8,5,6)))))*B10,0)</f>
        <v>6</v>
      </c>
      <c r="C34" s="832"/>
      <c r="D34" s="157">
        <f>B34*C34</f>
        <v>0</v>
      </c>
    </row>
    <row r="35" spans="1:5">
      <c r="A35" s="160" t="s">
        <v>167</v>
      </c>
      <c r="B35" s="72">
        <f>B11-B12</f>
        <v>0</v>
      </c>
      <c r="C35" s="832"/>
      <c r="D35" s="157">
        <f>B35*C35</f>
        <v>0</v>
      </c>
    </row>
    <row r="36" spans="1:5">
      <c r="A36" s="160" t="s">
        <v>233</v>
      </c>
      <c r="B36" s="72">
        <f>B12</f>
        <v>1</v>
      </c>
      <c r="C36" s="832"/>
      <c r="D36" s="157">
        <f>B36*C36</f>
        <v>0</v>
      </c>
    </row>
    <row r="37" spans="1:5">
      <c r="A37" s="160" t="s">
        <v>169</v>
      </c>
      <c r="B37" s="72">
        <f>B11-B12</f>
        <v>0</v>
      </c>
      <c r="C37" s="832"/>
      <c r="D37" s="157">
        <f>B37*C37</f>
        <v>0</v>
      </c>
    </row>
    <row r="38" spans="1:5">
      <c r="A38" s="159" t="s">
        <v>160</v>
      </c>
      <c r="B38" s="72">
        <f>B15*B11</f>
        <v>7</v>
      </c>
      <c r="C38" s="832"/>
      <c r="D38" s="64">
        <f t="shared" si="0"/>
        <v>0</v>
      </c>
    </row>
    <row r="39" spans="1:5">
      <c r="A39" s="159" t="s">
        <v>170</v>
      </c>
      <c r="B39" s="72">
        <f>B11*2+(B11-B12)*2</f>
        <v>2</v>
      </c>
      <c r="C39" s="832"/>
      <c r="D39" s="64">
        <f t="shared" si="0"/>
        <v>0</v>
      </c>
    </row>
    <row r="40" spans="1:5">
      <c r="A40" s="159" t="s">
        <v>171</v>
      </c>
      <c r="B40" s="72">
        <f>B11*2</f>
        <v>2</v>
      </c>
      <c r="C40" s="832"/>
      <c r="D40" s="157">
        <f>B40*C40</f>
        <v>0</v>
      </c>
    </row>
    <row r="41" spans="1:5">
      <c r="A41" s="131" t="s">
        <v>163</v>
      </c>
      <c r="B41" s="72">
        <f>B13</f>
        <v>2</v>
      </c>
      <c r="C41" s="832"/>
      <c r="D41" s="157">
        <f>B41*C41</f>
        <v>0</v>
      </c>
    </row>
    <row r="42" spans="1:5">
      <c r="A42" s="131" t="s">
        <v>172</v>
      </c>
      <c r="B42" s="73">
        <f>B11</f>
        <v>1</v>
      </c>
      <c r="C42" s="892"/>
      <c r="D42" s="157">
        <f>B42*C42</f>
        <v>0</v>
      </c>
    </row>
    <row r="43" spans="1:5" ht="12" thickBot="1">
      <c r="A43" s="30" t="s">
        <v>173</v>
      </c>
      <c r="B43" s="158">
        <f>B14</f>
        <v>3</v>
      </c>
      <c r="C43" s="893"/>
      <c r="D43" s="157">
        <f>B43*C43</f>
        <v>0</v>
      </c>
    </row>
    <row r="44" spans="1:5" ht="12.75" customHeight="1">
      <c r="A44" s="84" t="s">
        <v>78</v>
      </c>
      <c r="B44" s="74">
        <f>IF(B6=1,4*B11,0)</f>
        <v>0</v>
      </c>
      <c r="C44" s="894"/>
      <c r="D44" s="66">
        <f t="shared" si="0"/>
        <v>0</v>
      </c>
      <c r="E44" s="1123" t="s">
        <v>54</v>
      </c>
    </row>
    <row r="45" spans="1:5" ht="13.5" customHeight="1">
      <c r="A45" s="82" t="s">
        <v>79</v>
      </c>
      <c r="B45" s="72">
        <f>IF(B7=1,0,IF(B6=1,2*B11,0))</f>
        <v>0</v>
      </c>
      <c r="C45" s="832"/>
      <c r="D45" s="65">
        <f t="shared" si="0"/>
        <v>0</v>
      </c>
      <c r="E45" s="1124"/>
    </row>
    <row r="46" spans="1:5">
      <c r="A46" s="82" t="s">
        <v>80</v>
      </c>
      <c r="B46" s="72">
        <f>IF(B6=1,B11*2,0)</f>
        <v>0</v>
      </c>
      <c r="C46" s="832"/>
      <c r="D46" s="65">
        <f t="shared" si="0"/>
        <v>0</v>
      </c>
      <c r="E46" s="1124"/>
    </row>
    <row r="47" spans="1:5" ht="14.25" customHeight="1" thickBot="1">
      <c r="A47" s="85" t="s">
        <v>81</v>
      </c>
      <c r="B47" s="73">
        <f>IF(B6=1,(B4*2+0.2)*B11,0)</f>
        <v>0</v>
      </c>
      <c r="C47" s="892"/>
      <c r="D47" s="65">
        <f t="shared" si="0"/>
        <v>0</v>
      </c>
      <c r="E47" s="1125"/>
    </row>
    <row r="48" spans="1:5">
      <c r="A48" s="84" t="s">
        <v>82</v>
      </c>
      <c r="B48" s="74">
        <f>IF(B7=1,2*B11,0)</f>
        <v>0</v>
      </c>
      <c r="C48" s="894"/>
      <c r="D48" s="67">
        <f>B48*C48</f>
        <v>0</v>
      </c>
      <c r="E48" s="1123" t="s">
        <v>58</v>
      </c>
    </row>
    <row r="49" spans="1:5">
      <c r="A49" s="82" t="s">
        <v>83</v>
      </c>
      <c r="B49" s="72">
        <f>IF(B7=1,IF(B6=1,2*B11,0),0)</f>
        <v>0</v>
      </c>
      <c r="C49" s="832"/>
      <c r="D49" s="148">
        <f>B49*C49</f>
        <v>0</v>
      </c>
      <c r="E49" s="1124"/>
    </row>
    <row r="50" spans="1:5">
      <c r="A50" s="82" t="s">
        <v>64</v>
      </c>
      <c r="B50" s="72">
        <f>B48</f>
        <v>0</v>
      </c>
      <c r="C50" s="832"/>
      <c r="D50" s="148">
        <f>B50*C50</f>
        <v>0</v>
      </c>
      <c r="E50" s="1124"/>
    </row>
    <row r="51" spans="1:5" ht="12" thickBot="1">
      <c r="A51" s="86" t="s">
        <v>63</v>
      </c>
      <c r="B51" s="75">
        <f>IF(B7=1,B11,0)</f>
        <v>0</v>
      </c>
      <c r="C51" s="895"/>
      <c r="D51" s="68">
        <f>B51*C51</f>
        <v>0</v>
      </c>
      <c r="E51" s="1125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1030" t="s">
        <v>84</v>
      </c>
      <c r="B1" s="1031"/>
      <c r="C1" s="1031"/>
      <c r="D1" s="1085"/>
    </row>
    <row r="2" spans="1:10" ht="15" thickBot="1">
      <c r="A2" s="1086" t="s">
        <v>3</v>
      </c>
      <c r="B2" s="1087"/>
      <c r="C2" s="1087"/>
      <c r="D2" s="1088"/>
    </row>
    <row r="3" spans="1:10">
      <c r="A3" s="44" t="s">
        <v>6</v>
      </c>
      <c r="B3" s="878">
        <v>0.82</v>
      </c>
      <c r="C3" s="1032" t="s">
        <v>30</v>
      </c>
      <c r="D3" s="1033"/>
    </row>
    <row r="4" spans="1:10">
      <c r="A4" s="45" t="s">
        <v>1</v>
      </c>
      <c r="B4" s="884">
        <v>1.42</v>
      </c>
      <c r="C4" s="1126" t="s">
        <v>30</v>
      </c>
      <c r="D4" s="1122"/>
    </row>
    <row r="5" spans="1:10">
      <c r="A5" s="45" t="s">
        <v>55</v>
      </c>
      <c r="B5" s="884">
        <v>1</v>
      </c>
      <c r="C5" s="1120" t="s">
        <v>33</v>
      </c>
      <c r="D5" s="1122"/>
      <c r="G5" s="69"/>
      <c r="H5" s="69"/>
      <c r="I5" s="69"/>
    </row>
    <row r="6" spans="1:10">
      <c r="A6" s="46" t="s">
        <v>56</v>
      </c>
      <c r="B6" s="887">
        <v>1</v>
      </c>
      <c r="C6" s="1118" t="s">
        <v>33</v>
      </c>
      <c r="D6" s="1119"/>
      <c r="G6" s="70"/>
      <c r="H6" s="69"/>
      <c r="I6" s="69"/>
    </row>
    <row r="7" spans="1:10">
      <c r="A7" s="46" t="s">
        <v>57</v>
      </c>
      <c r="B7" s="886">
        <v>1</v>
      </c>
      <c r="C7" s="1120" t="s">
        <v>33</v>
      </c>
      <c r="D7" s="1122"/>
      <c r="G7" s="69"/>
      <c r="H7" s="69"/>
      <c r="I7" s="69"/>
    </row>
    <row r="8" spans="1:10">
      <c r="A8" s="171" t="s">
        <v>53</v>
      </c>
      <c r="B8" s="896">
        <v>25</v>
      </c>
      <c r="C8" s="1145" t="s">
        <v>30</v>
      </c>
      <c r="D8" s="1146"/>
      <c r="G8" s="69"/>
      <c r="H8" s="69"/>
      <c r="I8" s="69"/>
    </row>
    <row r="9" spans="1:10">
      <c r="A9" s="170" t="s">
        <v>157</v>
      </c>
      <c r="B9" s="897">
        <v>1</v>
      </c>
      <c r="C9" s="172"/>
      <c r="D9" s="172"/>
      <c r="E9" s="168"/>
      <c r="H9" s="69"/>
      <c r="I9" s="69"/>
      <c r="J9" s="69"/>
    </row>
    <row r="10" spans="1:10">
      <c r="A10" s="150" t="s">
        <v>144</v>
      </c>
      <c r="B10" s="888">
        <v>2</v>
      </c>
      <c r="C10" s="155"/>
      <c r="D10" s="155"/>
      <c r="E10" s="168"/>
      <c r="H10" s="69"/>
      <c r="I10" s="69"/>
      <c r="J10" s="69"/>
    </row>
    <row r="11" spans="1:10" ht="12" thickBot="1">
      <c r="A11" s="137" t="s">
        <v>147</v>
      </c>
      <c r="B11" s="889">
        <v>3</v>
      </c>
      <c r="C11" s="166"/>
      <c r="D11" s="167"/>
      <c r="E11" s="169"/>
      <c r="H11" s="69"/>
      <c r="I11" s="69"/>
      <c r="J11" s="69"/>
    </row>
    <row r="12" spans="1:10">
      <c r="A12" s="89" t="s">
        <v>87</v>
      </c>
      <c r="B12" s="898">
        <f>IF(B3&lt;=0.69,2,IF(B3&lt;=1.08,3,IF(B3&lt;=1.47,4,IF(B3&lt;=1.86,5,6))))</f>
        <v>3</v>
      </c>
      <c r="C12" s="1073" t="s">
        <v>29</v>
      </c>
      <c r="D12" s="1073"/>
      <c r="F12" s="71"/>
      <c r="G12" s="69"/>
      <c r="H12" s="69"/>
      <c r="I12" s="69"/>
    </row>
    <row r="13" spans="1:10">
      <c r="A13" s="89" t="s">
        <v>86</v>
      </c>
      <c r="B13" s="898">
        <f>IF(B12=2,2,IF(B12=3,2,IF(B12=4,4,IF(B12=5,3,4))))</f>
        <v>2</v>
      </c>
      <c r="C13" s="1073" t="s">
        <v>29</v>
      </c>
      <c r="D13" s="1073"/>
      <c r="G13" s="69"/>
      <c r="H13" s="69"/>
      <c r="I13" s="69"/>
    </row>
    <row r="14" spans="1:10" ht="12" thickBot="1">
      <c r="A14" s="1143"/>
      <c r="B14" s="1144"/>
      <c r="C14" s="1144"/>
      <c r="D14" s="1144"/>
      <c r="G14" s="69"/>
      <c r="H14" s="69"/>
      <c r="I14" s="69"/>
    </row>
    <row r="15" spans="1:10" ht="12.75">
      <c r="A15" s="60" t="s">
        <v>7</v>
      </c>
      <c r="B15" s="61" t="s">
        <v>0</v>
      </c>
      <c r="C15" s="62" t="s">
        <v>4</v>
      </c>
      <c r="D15" s="63" t="s">
        <v>8</v>
      </c>
      <c r="G15" s="69"/>
      <c r="H15" s="69"/>
      <c r="I15" s="69"/>
    </row>
    <row r="16" spans="1:10">
      <c r="A16" s="78" t="s">
        <v>92</v>
      </c>
      <c r="B16" s="79">
        <f>(B4+0.3)*B13</f>
        <v>3.44</v>
      </c>
      <c r="C16" s="835">
        <v>9</v>
      </c>
      <c r="D16" s="1">
        <f t="shared" ref="D16:D42" si="0">B16*C16</f>
        <v>30.96</v>
      </c>
      <c r="G16" s="69"/>
      <c r="H16" s="69"/>
      <c r="I16" s="69"/>
    </row>
    <row r="17" spans="1:6">
      <c r="A17" s="78" t="s">
        <v>66</v>
      </c>
      <c r="B17" s="80">
        <f>IF(B6=1,2*B8,0)</f>
        <v>50</v>
      </c>
      <c r="C17" s="832"/>
      <c r="D17" s="64">
        <f t="shared" si="0"/>
        <v>0</v>
      </c>
    </row>
    <row r="18" spans="1:6">
      <c r="A18" s="78" t="s">
        <v>98</v>
      </c>
      <c r="B18" s="80">
        <f>B12*B8</f>
        <v>75</v>
      </c>
      <c r="C18" s="832"/>
      <c r="D18" s="64">
        <f t="shared" si="0"/>
        <v>0</v>
      </c>
    </row>
    <row r="19" spans="1:6">
      <c r="A19" s="159" t="s">
        <v>158</v>
      </c>
      <c r="B19" s="80">
        <f>B12*B8</f>
        <v>75</v>
      </c>
      <c r="C19" s="832"/>
      <c r="D19" s="64">
        <f t="shared" si="0"/>
        <v>0</v>
      </c>
    </row>
    <row r="20" spans="1:6">
      <c r="A20" s="159" t="s">
        <v>174</v>
      </c>
      <c r="B20" s="80">
        <f>((IF(B3&lt;1.5,2,3))*B8)</f>
        <v>50</v>
      </c>
      <c r="C20" s="832"/>
      <c r="D20" s="157">
        <f t="shared" si="0"/>
        <v>0</v>
      </c>
    </row>
    <row r="21" spans="1:6">
      <c r="A21" s="159" t="s">
        <v>175</v>
      </c>
      <c r="B21" s="80">
        <f>((IF(B3&lt;1.5,2,3))*B8)</f>
        <v>50</v>
      </c>
      <c r="C21" s="832"/>
      <c r="D21" s="157">
        <f t="shared" si="0"/>
        <v>0</v>
      </c>
    </row>
    <row r="22" spans="1:6">
      <c r="A22" s="159" t="s">
        <v>176</v>
      </c>
      <c r="B22" s="80">
        <f>((IF(B3&lt;1.5,2,3))*B8)</f>
        <v>50</v>
      </c>
      <c r="C22" s="832"/>
      <c r="D22" s="64">
        <f t="shared" si="0"/>
        <v>0</v>
      </c>
    </row>
    <row r="23" spans="1:6">
      <c r="A23" s="78" t="s">
        <v>68</v>
      </c>
      <c r="B23" s="80">
        <f>B3*B8</f>
        <v>20.5</v>
      </c>
      <c r="C23" s="832"/>
      <c r="D23" s="64">
        <f t="shared" si="0"/>
        <v>0</v>
      </c>
    </row>
    <row r="24" spans="1:6">
      <c r="A24" s="81" t="s">
        <v>94</v>
      </c>
      <c r="B24" s="80">
        <f>B12*B8</f>
        <v>75</v>
      </c>
      <c r="C24" s="832"/>
      <c r="D24" s="64">
        <f t="shared" si="0"/>
        <v>0</v>
      </c>
      <c r="F24" s="71"/>
    </row>
    <row r="25" spans="1:6">
      <c r="A25" s="81" t="s">
        <v>95</v>
      </c>
      <c r="B25" s="80">
        <f>2*B8</f>
        <v>50</v>
      </c>
      <c r="C25" s="832"/>
      <c r="D25" s="64">
        <f t="shared" si="0"/>
        <v>0</v>
      </c>
    </row>
    <row r="26" spans="1:6">
      <c r="A26" s="81" t="s">
        <v>96</v>
      </c>
      <c r="B26" s="173">
        <f>(IF(B3&lt;0.61,0,IF(B3&lt;1.01,1,IF(B3&lt;1.5,2,IF(B3&lt;1.8,3,4)))))*B8</f>
        <v>25</v>
      </c>
      <c r="C26" s="832"/>
      <c r="D26" s="64">
        <f t="shared" si="0"/>
        <v>0</v>
      </c>
    </row>
    <row r="27" spans="1:6">
      <c r="A27" s="82" t="s">
        <v>97</v>
      </c>
      <c r="B27" s="72">
        <f>2*B8</f>
        <v>50</v>
      </c>
      <c r="C27" s="832"/>
      <c r="D27" s="64">
        <f t="shared" si="0"/>
        <v>0</v>
      </c>
    </row>
    <row r="28" spans="1:6">
      <c r="A28" s="82" t="s">
        <v>93</v>
      </c>
      <c r="B28" s="72">
        <f>B12*(B4+0.3)*B8</f>
        <v>129</v>
      </c>
      <c r="C28" s="832"/>
      <c r="D28" s="64">
        <f t="shared" si="0"/>
        <v>0</v>
      </c>
      <c r="F28" s="71"/>
    </row>
    <row r="29" spans="1:6">
      <c r="A29" s="160" t="s">
        <v>159</v>
      </c>
      <c r="B29" s="72">
        <f>B3*B8</f>
        <v>20.5</v>
      </c>
      <c r="C29" s="832"/>
      <c r="D29" s="64">
        <f t="shared" si="0"/>
        <v>0</v>
      </c>
    </row>
    <row r="30" spans="1:6">
      <c r="A30" s="160" t="s">
        <v>167</v>
      </c>
      <c r="B30" s="72">
        <f>B8-B9</f>
        <v>24</v>
      </c>
      <c r="C30" s="832"/>
      <c r="D30" s="157">
        <f t="shared" si="0"/>
        <v>0</v>
      </c>
    </row>
    <row r="31" spans="1:6">
      <c r="A31" s="160" t="s">
        <v>233</v>
      </c>
      <c r="B31" s="72">
        <f>B9</f>
        <v>1</v>
      </c>
      <c r="C31" s="832"/>
      <c r="D31" s="157">
        <f t="shared" si="0"/>
        <v>0</v>
      </c>
    </row>
    <row r="32" spans="1:6">
      <c r="A32" s="160" t="s">
        <v>169</v>
      </c>
      <c r="B32" s="72">
        <f>B8-B9</f>
        <v>24</v>
      </c>
      <c r="C32" s="832"/>
      <c r="D32" s="157">
        <f t="shared" ref="D32:D38" si="1">B32*C32</f>
        <v>0</v>
      </c>
    </row>
    <row r="33" spans="1:4">
      <c r="A33" s="159" t="s">
        <v>160</v>
      </c>
      <c r="B33" s="72">
        <f>B12*B8</f>
        <v>75</v>
      </c>
      <c r="C33" s="832"/>
      <c r="D33" s="157">
        <f t="shared" si="1"/>
        <v>0</v>
      </c>
    </row>
    <row r="34" spans="1:4">
      <c r="A34" s="159" t="s">
        <v>170</v>
      </c>
      <c r="B34" s="72">
        <f>B8*2+(B8-B9)*2</f>
        <v>98</v>
      </c>
      <c r="C34" s="832"/>
      <c r="D34" s="157">
        <f t="shared" si="1"/>
        <v>0</v>
      </c>
    </row>
    <row r="35" spans="1:4">
      <c r="A35" s="159" t="s">
        <v>171</v>
      </c>
      <c r="B35" s="72">
        <f>B8*2</f>
        <v>50</v>
      </c>
      <c r="C35" s="832"/>
      <c r="D35" s="157">
        <f t="shared" si="1"/>
        <v>0</v>
      </c>
    </row>
    <row r="36" spans="1:4">
      <c r="A36" s="131" t="s">
        <v>163</v>
      </c>
      <c r="B36" s="72">
        <f>B10</f>
        <v>2</v>
      </c>
      <c r="C36" s="832"/>
      <c r="D36" s="157">
        <f t="shared" si="1"/>
        <v>0</v>
      </c>
    </row>
    <row r="37" spans="1:4">
      <c r="A37" s="131" t="s">
        <v>172</v>
      </c>
      <c r="B37" s="73">
        <f>B8</f>
        <v>25</v>
      </c>
      <c r="C37" s="892"/>
      <c r="D37" s="157">
        <f t="shared" si="1"/>
        <v>0</v>
      </c>
    </row>
    <row r="38" spans="1:4" ht="12" thickBot="1">
      <c r="A38" s="30" t="s">
        <v>173</v>
      </c>
      <c r="B38" s="158">
        <f>B11</f>
        <v>3</v>
      </c>
      <c r="C38" s="893"/>
      <c r="D38" s="157">
        <f t="shared" si="1"/>
        <v>0</v>
      </c>
    </row>
    <row r="39" spans="1:4" ht="12" thickBot="1">
      <c r="A39" s="1141" t="s">
        <v>91</v>
      </c>
      <c r="B39" s="1142"/>
      <c r="C39" s="1142"/>
      <c r="D39" s="1142"/>
    </row>
    <row r="40" spans="1:4">
      <c r="A40" s="90" t="s">
        <v>88</v>
      </c>
      <c r="B40" s="52">
        <f>(ROUND((B4-0.025)/0.0215,0))*B8</f>
        <v>1625</v>
      </c>
      <c r="C40" s="891"/>
      <c r="D40" s="67">
        <f t="shared" si="0"/>
        <v>0</v>
      </c>
    </row>
    <row r="41" spans="1:4">
      <c r="A41" s="91" t="s">
        <v>89</v>
      </c>
      <c r="B41" s="53">
        <f>B8</f>
        <v>25</v>
      </c>
      <c r="C41" s="835"/>
      <c r="D41" s="64">
        <f t="shared" si="0"/>
        <v>0</v>
      </c>
    </row>
    <row r="42" spans="1:4" ht="12" thickBot="1">
      <c r="A42" s="92" t="s">
        <v>90</v>
      </c>
      <c r="B42" s="54">
        <f>B8</f>
        <v>25</v>
      </c>
      <c r="C42" s="893"/>
      <c r="D42" s="68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1:D1"/>
    <mergeCell ref="A2:D2"/>
    <mergeCell ref="C3:D3"/>
    <mergeCell ref="C4:D4"/>
    <mergeCell ref="C5:D5"/>
    <mergeCell ref="A39:D39"/>
    <mergeCell ref="C13:D13"/>
    <mergeCell ref="A14:D14"/>
    <mergeCell ref="C12:D12"/>
    <mergeCell ref="C6:D6"/>
    <mergeCell ref="C7:D7"/>
    <mergeCell ref="C8:D8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zoomScale="145" zoomScaleNormal="145" zoomScaleSheetLayoutView="100" workbookViewId="0">
      <selection activeCell="B3" sqref="B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147" t="s">
        <v>890</v>
      </c>
      <c r="B1" s="1147"/>
      <c r="C1" s="1147"/>
      <c r="D1" s="1147"/>
    </row>
    <row r="2" spans="1:11" ht="11.25" customHeight="1">
      <c r="A2" s="108" t="s">
        <v>10</v>
      </c>
      <c r="B2" s="827">
        <v>2</v>
      </c>
      <c r="C2" s="1148" t="s">
        <v>30</v>
      </c>
      <c r="D2" s="1149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110" t="s">
        <v>1</v>
      </c>
      <c r="B3" s="828">
        <v>1</v>
      </c>
      <c r="C3" s="1150" t="s">
        <v>30</v>
      </c>
      <c r="D3" s="1151"/>
      <c r="F3" s="1055"/>
      <c r="G3" s="1056"/>
      <c r="H3" s="1056"/>
      <c r="I3" s="1056"/>
      <c r="J3" s="1056"/>
      <c r="K3" s="1057"/>
    </row>
    <row r="4" spans="1:11">
      <c r="A4" s="120" t="s">
        <v>36</v>
      </c>
      <c r="B4" s="899">
        <v>2</v>
      </c>
      <c r="C4" s="1148" t="s">
        <v>870</v>
      </c>
      <c r="D4" s="1149" t="s">
        <v>871</v>
      </c>
      <c r="F4" s="119"/>
      <c r="G4" s="119"/>
      <c r="H4" s="119"/>
      <c r="I4" s="119"/>
      <c r="J4" s="119"/>
      <c r="K4" s="119"/>
    </row>
    <row r="5" spans="1:11">
      <c r="A5" s="109" t="s">
        <v>872</v>
      </c>
      <c r="B5" s="829">
        <v>0</v>
      </c>
      <c r="C5" s="1152" t="s">
        <v>30</v>
      </c>
      <c r="D5" s="1153"/>
    </row>
    <row r="6" spans="1:11" ht="13.5" customHeight="1" thickBot="1">
      <c r="A6" s="143" t="s">
        <v>873</v>
      </c>
      <c r="B6" s="900">
        <v>0</v>
      </c>
      <c r="C6" s="1150" t="s">
        <v>30</v>
      </c>
      <c r="D6" s="1151"/>
    </row>
    <row r="7" spans="1:11" ht="12" thickBot="1">
      <c r="A7" s="818" t="s">
        <v>874</v>
      </c>
      <c r="B7" s="901">
        <v>2</v>
      </c>
      <c r="C7" s="1154" t="s">
        <v>30</v>
      </c>
      <c r="D7" s="1155"/>
    </row>
    <row r="8" spans="1:11" ht="12" thickBot="1">
      <c r="A8" s="818" t="s">
        <v>875</v>
      </c>
      <c r="B8" s="901">
        <v>0</v>
      </c>
      <c r="C8" s="1154" t="s">
        <v>30</v>
      </c>
      <c r="D8" s="1155"/>
    </row>
    <row r="9" spans="1:11" ht="12" thickBot="1">
      <c r="A9" s="146" t="s">
        <v>876</v>
      </c>
      <c r="B9" s="902">
        <v>0</v>
      </c>
      <c r="C9" s="1154" t="s">
        <v>30</v>
      </c>
      <c r="D9" s="1155"/>
    </row>
    <row r="10" spans="1:11" ht="12" thickBot="1">
      <c r="A10" s="146" t="s">
        <v>877</v>
      </c>
      <c r="B10" s="902">
        <v>0</v>
      </c>
      <c r="C10" s="1154" t="s">
        <v>30</v>
      </c>
      <c r="D10" s="1155"/>
    </row>
    <row r="11" spans="1:11" ht="12.75">
      <c r="A11" s="925" t="s">
        <v>878</v>
      </c>
      <c r="B11" s="97">
        <v>0</v>
      </c>
      <c r="C11" s="117" t="s">
        <v>30</v>
      </c>
      <c r="D11" s="924"/>
      <c r="E11" s="5"/>
      <c r="F11" s="5"/>
      <c r="G11" s="5"/>
      <c r="H11" s="5"/>
      <c r="I11" s="5"/>
      <c r="J11" s="5"/>
      <c r="K11" s="5"/>
    </row>
    <row r="12" spans="1:11" ht="12.75">
      <c r="A12" s="928" t="s">
        <v>879</v>
      </c>
      <c r="B12" s="926">
        <v>0</v>
      </c>
      <c r="C12" s="927" t="s">
        <v>30</v>
      </c>
      <c r="D12" s="929"/>
    </row>
    <row r="13" spans="1:11">
      <c r="A13" s="6" t="s">
        <v>880</v>
      </c>
      <c r="B13" s="936">
        <v>0</v>
      </c>
      <c r="C13" s="847" t="s">
        <v>30</v>
      </c>
      <c r="D13" s="922"/>
    </row>
    <row r="14" spans="1:11">
      <c r="A14" s="6" t="s">
        <v>881</v>
      </c>
      <c r="B14" s="936">
        <v>0</v>
      </c>
      <c r="C14" s="847" t="s">
        <v>30</v>
      </c>
      <c r="D14" s="922"/>
      <c r="E14" s="69"/>
      <c r="F14" s="69"/>
    </row>
    <row r="15" spans="1:11">
      <c r="A15" s="6" t="s">
        <v>931</v>
      </c>
      <c r="B15" s="936">
        <v>1</v>
      </c>
      <c r="C15" s="847" t="s">
        <v>30</v>
      </c>
      <c r="D15" s="922"/>
      <c r="E15" s="69"/>
      <c r="F15" s="69"/>
    </row>
    <row r="16" spans="1:11">
      <c r="A16" s="7" t="s">
        <v>882</v>
      </c>
      <c r="B16" s="937">
        <v>0</v>
      </c>
      <c r="C16" s="847" t="s">
        <v>30</v>
      </c>
      <c r="D16" s="922"/>
    </row>
    <row r="17" spans="1:11">
      <c r="A17" s="6" t="s">
        <v>918</v>
      </c>
      <c r="B17" s="936">
        <v>1</v>
      </c>
      <c r="C17" s="847" t="s">
        <v>30</v>
      </c>
      <c r="D17" s="922"/>
    </row>
    <row r="18" spans="1:11">
      <c r="A18" s="7" t="s">
        <v>919</v>
      </c>
      <c r="B18" s="937">
        <v>0</v>
      </c>
      <c r="C18" s="847" t="s">
        <v>30</v>
      </c>
      <c r="D18" s="922"/>
    </row>
    <row r="19" spans="1:11">
      <c r="A19" s="6" t="s">
        <v>922</v>
      </c>
      <c r="B19" s="936">
        <v>0</v>
      </c>
      <c r="C19" s="847" t="s">
        <v>30</v>
      </c>
      <c r="D19" s="922"/>
    </row>
    <row r="20" spans="1:11">
      <c r="A20" s="6" t="s">
        <v>923</v>
      </c>
      <c r="B20" s="936">
        <v>0</v>
      </c>
      <c r="C20" s="847" t="s">
        <v>30</v>
      </c>
      <c r="D20" s="922"/>
    </row>
    <row r="21" spans="1:11">
      <c r="A21" s="7" t="s">
        <v>924</v>
      </c>
      <c r="B21" s="937">
        <v>0</v>
      </c>
      <c r="C21" s="847" t="s">
        <v>30</v>
      </c>
      <c r="D21" s="922"/>
    </row>
    <row r="22" spans="1:11">
      <c r="A22" s="6" t="s">
        <v>925</v>
      </c>
      <c r="B22" s="936">
        <v>0</v>
      </c>
      <c r="C22" s="847" t="s">
        <v>30</v>
      </c>
      <c r="D22" s="922"/>
    </row>
    <row r="23" spans="1:11">
      <c r="A23" s="7" t="s">
        <v>930</v>
      </c>
      <c r="B23" s="937">
        <v>0</v>
      </c>
      <c r="C23" s="847" t="s">
        <v>30</v>
      </c>
      <c r="D23" s="922"/>
    </row>
    <row r="24" spans="1:11">
      <c r="A24" s="6" t="s">
        <v>927</v>
      </c>
      <c r="B24" s="936">
        <v>0</v>
      </c>
      <c r="C24" s="847" t="s">
        <v>30</v>
      </c>
      <c r="D24" s="922"/>
      <c r="E24" s="69"/>
      <c r="F24" s="69"/>
    </row>
    <row r="25" spans="1:11">
      <c r="A25" s="7" t="s">
        <v>928</v>
      </c>
      <c r="B25" s="937">
        <v>0</v>
      </c>
      <c r="C25" s="847" t="s">
        <v>30</v>
      </c>
      <c r="D25" s="922"/>
    </row>
    <row r="26" spans="1:11">
      <c r="A26" s="6" t="s">
        <v>929</v>
      </c>
      <c r="B26" s="936">
        <v>0</v>
      </c>
      <c r="C26" s="847" t="s">
        <v>30</v>
      </c>
      <c r="D26" s="922"/>
    </row>
    <row r="27" spans="1:11">
      <c r="A27" s="7" t="s">
        <v>926</v>
      </c>
      <c r="B27" s="937">
        <v>0</v>
      </c>
      <c r="C27" s="847" t="s">
        <v>30</v>
      </c>
      <c r="D27" s="922"/>
    </row>
    <row r="28" spans="1:11">
      <c r="A28" s="6" t="s">
        <v>920</v>
      </c>
      <c r="B28" s="936">
        <v>1</v>
      </c>
      <c r="C28" s="847" t="s">
        <v>30</v>
      </c>
      <c r="D28" s="922"/>
    </row>
    <row r="29" spans="1:11">
      <c r="A29" s="7" t="s">
        <v>146</v>
      </c>
      <c r="B29" s="937">
        <v>1</v>
      </c>
      <c r="C29" s="847" t="s">
        <v>30</v>
      </c>
      <c r="D29" s="922"/>
    </row>
    <row r="30" spans="1:11" ht="12" thickBot="1">
      <c r="A30" s="860" t="s">
        <v>143</v>
      </c>
      <c r="B30" s="938">
        <v>1</v>
      </c>
      <c r="C30" s="903" t="s">
        <v>30</v>
      </c>
      <c r="D30" s="4"/>
    </row>
    <row r="31" spans="1:11" ht="12" thickBot="1">
      <c r="A31" s="858"/>
      <c r="B31" s="859"/>
      <c r="C31" s="904"/>
      <c r="D31" s="69"/>
    </row>
    <row r="32" spans="1:11" s="5" customFormat="1" ht="13.5" customHeight="1">
      <c r="A32" s="930" t="s">
        <v>5</v>
      </c>
      <c r="B32" s="931" t="s">
        <v>0</v>
      </c>
      <c r="C32" s="932" t="s">
        <v>4</v>
      </c>
      <c r="D32" s="933" t="s">
        <v>8</v>
      </c>
      <c r="E32"/>
      <c r="F32"/>
      <c r="G32"/>
      <c r="H32"/>
      <c r="I32"/>
      <c r="J32"/>
      <c r="K32"/>
    </row>
    <row r="33" spans="1:4">
      <c r="A33" s="7" t="s">
        <v>795</v>
      </c>
      <c r="B33" s="935">
        <f>IF(B11+B12=0,2*(B5+B6+B7+B8+B9+B10),2*((B5+B6+B7+B8+B9+B10)-(B11+B12)))</f>
        <v>4</v>
      </c>
      <c r="C33" s="848"/>
      <c r="D33" s="850">
        <f t="shared" ref="D33:D74" si="0">C33*B33</f>
        <v>0</v>
      </c>
    </row>
    <row r="34" spans="1:4">
      <c r="A34" s="7" t="s">
        <v>883</v>
      </c>
      <c r="B34" s="935">
        <f>2*(B11+B12)</f>
        <v>0</v>
      </c>
      <c r="C34" s="848"/>
      <c r="D34" s="850">
        <f t="shared" si="0"/>
        <v>0</v>
      </c>
    </row>
    <row r="35" spans="1:4">
      <c r="A35" s="7" t="s">
        <v>898</v>
      </c>
      <c r="B35" s="935">
        <f>B36*4+B37*4</f>
        <v>0</v>
      </c>
      <c r="C35" s="848"/>
      <c r="D35" s="922">
        <f t="shared" si="0"/>
        <v>0</v>
      </c>
    </row>
    <row r="36" spans="1:4">
      <c r="A36" s="7" t="s">
        <v>884</v>
      </c>
      <c r="B36" s="935">
        <f>B12</f>
        <v>0</v>
      </c>
      <c r="C36" s="848"/>
      <c r="D36" s="850">
        <f t="shared" si="0"/>
        <v>0</v>
      </c>
    </row>
    <row r="37" spans="1:4">
      <c r="A37" s="7" t="s">
        <v>885</v>
      </c>
      <c r="B37" s="935">
        <f>B11</f>
        <v>0</v>
      </c>
      <c r="C37" s="848"/>
      <c r="D37" s="850">
        <f t="shared" si="0"/>
        <v>0</v>
      </c>
    </row>
    <row r="38" spans="1:4">
      <c r="A38" s="6" t="s">
        <v>808</v>
      </c>
      <c r="B38" s="935">
        <f>(IF(B2&lt;=1,2,IF(B2&lt;=1.5,3,IF(B2&lt;=2,4,IF(B2&lt;=2.5,5,6)))))*(B8+B9+B10)</f>
        <v>0</v>
      </c>
      <c r="C38" s="848"/>
      <c r="D38" s="850">
        <f t="shared" si="0"/>
        <v>0</v>
      </c>
    </row>
    <row r="39" spans="1:4">
      <c r="A39" s="6" t="s">
        <v>899</v>
      </c>
      <c r="B39" s="935">
        <f>B6</f>
        <v>0</v>
      </c>
      <c r="C39" s="848"/>
      <c r="D39" s="850">
        <f t="shared" si="0"/>
        <v>0</v>
      </c>
    </row>
    <row r="40" spans="1:4" ht="12" customHeight="1">
      <c r="A40" s="50" t="s">
        <v>891</v>
      </c>
      <c r="B40" s="939">
        <f>B5</f>
        <v>0</v>
      </c>
      <c r="C40" s="905"/>
      <c r="D40" s="850">
        <f t="shared" si="0"/>
        <v>0</v>
      </c>
    </row>
    <row r="41" spans="1:4">
      <c r="A41" s="50" t="s">
        <v>895</v>
      </c>
      <c r="B41" s="939">
        <f>2*B8</f>
        <v>0</v>
      </c>
      <c r="C41" s="835"/>
      <c r="D41" s="850">
        <f t="shared" si="0"/>
        <v>0</v>
      </c>
    </row>
    <row r="42" spans="1:4">
      <c r="A42" s="50" t="s">
        <v>896</v>
      </c>
      <c r="B42" s="939">
        <f>2*(B9+B10)</f>
        <v>0</v>
      </c>
      <c r="C42" s="835"/>
      <c r="D42" s="850">
        <f t="shared" si="0"/>
        <v>0</v>
      </c>
    </row>
    <row r="43" spans="1:4">
      <c r="A43" s="50" t="s">
        <v>897</v>
      </c>
      <c r="B43" s="939">
        <f>B10+B9+B8</f>
        <v>0</v>
      </c>
      <c r="C43" s="835"/>
      <c r="D43" s="850">
        <f t="shared" si="0"/>
        <v>0</v>
      </c>
    </row>
    <row r="44" spans="1:4">
      <c r="A44" s="7" t="s">
        <v>119</v>
      </c>
      <c r="B44" s="939">
        <f>B2*(B5+B6+B7+B8+B9+B10)</f>
        <v>4</v>
      </c>
      <c r="C44" s="835"/>
      <c r="D44" s="850">
        <f t="shared" si="0"/>
        <v>0</v>
      </c>
    </row>
    <row r="45" spans="1:4">
      <c r="A45" s="50" t="s">
        <v>118</v>
      </c>
      <c r="B45" s="853">
        <f>B47</f>
        <v>3.9239999999999999</v>
      </c>
      <c r="C45" s="835"/>
      <c r="D45" s="850">
        <f t="shared" si="0"/>
        <v>0</v>
      </c>
    </row>
    <row r="46" spans="1:4">
      <c r="A46" s="50" t="s">
        <v>894</v>
      </c>
      <c r="B46" s="853">
        <f>(IF(B4=2,B2-0.005,B2+0.04))*(B10+B9+B8)</f>
        <v>0</v>
      </c>
      <c r="C46" s="835"/>
      <c r="D46" s="850">
        <f t="shared" si="0"/>
        <v>0</v>
      </c>
    </row>
    <row r="47" spans="1:4">
      <c r="A47" s="50" t="s">
        <v>797</v>
      </c>
      <c r="B47" s="853">
        <f>(IF(B4=2,B2-0.038,B2))*(B5+B6+B7+B8+B9+B10)</f>
        <v>3.9239999999999999</v>
      </c>
      <c r="C47" s="835"/>
      <c r="D47" s="850">
        <f t="shared" si="0"/>
        <v>0</v>
      </c>
    </row>
    <row r="48" spans="1:4">
      <c r="A48" s="50" t="s">
        <v>893</v>
      </c>
      <c r="B48" s="853">
        <f>4*(B8+B9+B10)</f>
        <v>0</v>
      </c>
      <c r="C48" s="835"/>
      <c r="D48" s="850">
        <f t="shared" si="0"/>
        <v>0</v>
      </c>
    </row>
    <row r="49" spans="1:8">
      <c r="A49" s="50" t="s">
        <v>900</v>
      </c>
      <c r="B49" s="853">
        <f>(2*B3+0.2)*(B11+B12)</f>
        <v>0</v>
      </c>
      <c r="C49" s="835"/>
      <c r="D49" s="850">
        <f t="shared" si="0"/>
        <v>0</v>
      </c>
    </row>
    <row r="50" spans="1:8">
      <c r="A50" s="50" t="s">
        <v>892</v>
      </c>
      <c r="B50" s="853">
        <f>(IF(B4=2,B2-0.035,B2+0.003))*(B5+B8)</f>
        <v>0</v>
      </c>
      <c r="C50" s="835"/>
      <c r="D50" s="850">
        <f t="shared" si="0"/>
        <v>0</v>
      </c>
    </row>
    <row r="51" spans="1:8">
      <c r="A51" s="6" t="s">
        <v>798</v>
      </c>
      <c r="B51" s="923">
        <f>(IF(B4=2,B2-0.035,B2+0.003))*(B6+B9)</f>
        <v>0</v>
      </c>
      <c r="C51" s="835"/>
      <c r="D51" s="850">
        <f t="shared" si="0"/>
        <v>0</v>
      </c>
    </row>
    <row r="52" spans="1:8">
      <c r="A52" s="50" t="s">
        <v>886</v>
      </c>
      <c r="B52" s="853">
        <f>(IF(B4=2,IF((B58+B60+B61)&gt;0,B2-0.04,B2-0.044),B2+0.003))*(B7+B10)</f>
        <v>3.92</v>
      </c>
      <c r="C52" s="835"/>
      <c r="D52" s="850">
        <f t="shared" si="0"/>
        <v>0</v>
      </c>
      <c r="E52" s="941"/>
    </row>
    <row r="53" spans="1:8">
      <c r="A53" s="50" t="s">
        <v>887</v>
      </c>
      <c r="B53" s="853">
        <f>4*(B11+B12)</f>
        <v>0</v>
      </c>
      <c r="C53" s="835"/>
      <c r="D53" s="850">
        <f t="shared" si="0"/>
        <v>0</v>
      </c>
      <c r="G53" s="1159"/>
      <c r="H53" s="1159"/>
    </row>
    <row r="54" spans="1:8">
      <c r="A54" s="50" t="s">
        <v>901</v>
      </c>
      <c r="B54" s="939">
        <f>B20+B24</f>
        <v>0</v>
      </c>
      <c r="C54" s="835"/>
      <c r="D54" s="922">
        <f t="shared" si="0"/>
        <v>0</v>
      </c>
      <c r="E54" s="934" t="s">
        <v>916</v>
      </c>
      <c r="F54" s="1156" t="s">
        <v>921</v>
      </c>
      <c r="G54" s="1157"/>
      <c r="H54" s="1158"/>
    </row>
    <row r="55" spans="1:8">
      <c r="A55" s="50" t="s">
        <v>902</v>
      </c>
      <c r="B55" s="939">
        <f>B22+B26</f>
        <v>0</v>
      </c>
      <c r="C55" s="835"/>
      <c r="D55" s="922">
        <f t="shared" si="0"/>
        <v>0</v>
      </c>
      <c r="E55" s="934" t="s">
        <v>915</v>
      </c>
      <c r="F55" s="1156"/>
      <c r="G55" s="1157"/>
      <c r="H55" s="1158"/>
    </row>
    <row r="56" spans="1:8">
      <c r="A56" s="50" t="s">
        <v>904</v>
      </c>
      <c r="B56" s="939">
        <f>B21+B25</f>
        <v>0</v>
      </c>
      <c r="C56" s="835"/>
      <c r="D56" s="922">
        <f t="shared" si="0"/>
        <v>0</v>
      </c>
      <c r="E56" s="934" t="s">
        <v>913</v>
      </c>
      <c r="F56" s="1156"/>
      <c r="G56" s="1157"/>
      <c r="H56" s="1158"/>
    </row>
    <row r="57" spans="1:8">
      <c r="A57" s="50" t="s">
        <v>905</v>
      </c>
      <c r="B57" s="939">
        <f>B23+B27</f>
        <v>0</v>
      </c>
      <c r="C57" s="835"/>
      <c r="D57" s="922">
        <f t="shared" si="0"/>
        <v>0</v>
      </c>
      <c r="E57" s="934" t="s">
        <v>917</v>
      </c>
      <c r="F57" s="1156"/>
      <c r="G57" s="1157"/>
      <c r="H57" s="1158"/>
    </row>
    <row r="58" spans="1:8">
      <c r="A58" s="50" t="s">
        <v>908</v>
      </c>
      <c r="B58" s="939">
        <f>B14</f>
        <v>0</v>
      </c>
      <c r="C58" s="835"/>
      <c r="D58" s="922">
        <f t="shared" si="0"/>
        <v>0</v>
      </c>
      <c r="E58" s="934" t="s">
        <v>910</v>
      </c>
      <c r="F58" s="1156"/>
    </row>
    <row r="59" spans="1:8">
      <c r="A59" s="50" t="s">
        <v>907</v>
      </c>
      <c r="B59" s="939">
        <f>B13</f>
        <v>0</v>
      </c>
      <c r="C59" s="835"/>
      <c r="D59" s="922">
        <f t="shared" si="0"/>
        <v>0</v>
      </c>
      <c r="E59" s="934" t="s">
        <v>911</v>
      </c>
      <c r="F59" s="1156"/>
    </row>
    <row r="60" spans="1:8">
      <c r="A60" s="50" t="s">
        <v>909</v>
      </c>
      <c r="B60" s="939">
        <f>B15</f>
        <v>1</v>
      </c>
      <c r="C60" s="835"/>
      <c r="D60" s="922">
        <f t="shared" si="0"/>
        <v>0</v>
      </c>
      <c r="E60" s="934" t="s">
        <v>933</v>
      </c>
      <c r="F60" s="1156"/>
    </row>
    <row r="61" spans="1:8">
      <c r="A61" s="50" t="s">
        <v>932</v>
      </c>
      <c r="B61" s="939">
        <f>B17</f>
        <v>1</v>
      </c>
      <c r="C61" s="835"/>
      <c r="D61" s="922">
        <f t="shared" si="0"/>
        <v>0</v>
      </c>
      <c r="E61" s="934" t="s">
        <v>915</v>
      </c>
      <c r="F61" s="1156"/>
    </row>
    <row r="62" spans="1:8">
      <c r="A62" s="50" t="s">
        <v>912</v>
      </c>
      <c r="B62" s="939">
        <f>B16+B18</f>
        <v>0</v>
      </c>
      <c r="C62" s="835"/>
      <c r="D62" s="922">
        <f t="shared" si="0"/>
        <v>0</v>
      </c>
      <c r="E62" s="934" t="s">
        <v>914</v>
      </c>
      <c r="F62" s="1156"/>
    </row>
    <row r="63" spans="1:8">
      <c r="A63" s="50" t="s">
        <v>139</v>
      </c>
      <c r="B63" s="853">
        <f>B5+B8</f>
        <v>0</v>
      </c>
      <c r="C63" s="835"/>
      <c r="D63" s="850">
        <f t="shared" si="0"/>
        <v>0</v>
      </c>
    </row>
    <row r="64" spans="1:8">
      <c r="A64" s="50" t="s">
        <v>140</v>
      </c>
      <c r="B64" s="853">
        <f>B6+B9</f>
        <v>0</v>
      </c>
      <c r="C64" s="835"/>
      <c r="D64" s="850">
        <f t="shared" si="0"/>
        <v>0</v>
      </c>
    </row>
    <row r="65" spans="1:4">
      <c r="A65" s="50" t="s">
        <v>888</v>
      </c>
      <c r="B65" s="853">
        <f>B7</f>
        <v>2</v>
      </c>
      <c r="C65" s="835"/>
      <c r="D65" s="850">
        <f t="shared" si="0"/>
        <v>0</v>
      </c>
    </row>
    <row r="66" spans="1:4">
      <c r="A66" s="50" t="s">
        <v>903</v>
      </c>
      <c r="B66" s="939">
        <f>B5+B8</f>
        <v>0</v>
      </c>
      <c r="C66" s="835"/>
      <c r="D66" s="850">
        <f t="shared" si="0"/>
        <v>0</v>
      </c>
    </row>
    <row r="67" spans="1:4">
      <c r="A67" s="50" t="s">
        <v>906</v>
      </c>
      <c r="B67" s="939">
        <f>B6+B9</f>
        <v>0</v>
      </c>
      <c r="C67" s="835"/>
      <c r="D67" s="922">
        <f t="shared" si="0"/>
        <v>0</v>
      </c>
    </row>
    <row r="68" spans="1:4">
      <c r="A68" s="50" t="s">
        <v>822</v>
      </c>
      <c r="B68" s="939">
        <f>B25+B27</f>
        <v>0</v>
      </c>
      <c r="C68" s="835"/>
      <c r="D68" s="922">
        <f t="shared" si="0"/>
        <v>0</v>
      </c>
    </row>
    <row r="69" spans="1:4">
      <c r="A69" s="50" t="s">
        <v>800</v>
      </c>
      <c r="B69" s="939">
        <f>B21+B23</f>
        <v>0</v>
      </c>
      <c r="C69" s="835"/>
      <c r="D69" s="922">
        <f t="shared" si="0"/>
        <v>0</v>
      </c>
    </row>
    <row r="70" spans="1:4">
      <c r="A70" s="50" t="s">
        <v>801</v>
      </c>
      <c r="B70" s="939">
        <f>B6+B9</f>
        <v>0</v>
      </c>
      <c r="C70" s="835"/>
      <c r="D70" s="922">
        <f t="shared" si="0"/>
        <v>0</v>
      </c>
    </row>
    <row r="71" spans="1:4">
      <c r="A71" s="50" t="s">
        <v>141</v>
      </c>
      <c r="B71" s="939">
        <f>B7+B10</f>
        <v>2</v>
      </c>
      <c r="C71" s="835"/>
      <c r="D71" s="922">
        <f t="shared" si="0"/>
        <v>0</v>
      </c>
    </row>
    <row r="72" spans="1:4">
      <c r="A72" s="50" t="s">
        <v>142</v>
      </c>
      <c r="B72" s="939">
        <f>B71</f>
        <v>2</v>
      </c>
      <c r="C72" s="835"/>
      <c r="D72" s="922">
        <f t="shared" si="0"/>
        <v>0</v>
      </c>
    </row>
    <row r="73" spans="1:4">
      <c r="A73" s="50" t="s">
        <v>145</v>
      </c>
      <c r="B73" s="939">
        <f>B29</f>
        <v>1</v>
      </c>
      <c r="C73" s="835"/>
      <c r="D73" s="922">
        <f t="shared" si="0"/>
        <v>0</v>
      </c>
    </row>
    <row r="74" spans="1:4">
      <c r="A74" s="50" t="s">
        <v>148</v>
      </c>
      <c r="B74" s="939">
        <f>B28</f>
        <v>1</v>
      </c>
      <c r="C74" s="835"/>
      <c r="D74" s="922">
        <f t="shared" si="0"/>
        <v>0</v>
      </c>
    </row>
    <row r="75" spans="1:4" ht="12" thickBot="1">
      <c r="A75" s="803" t="s">
        <v>889</v>
      </c>
      <c r="B75" s="940">
        <f>B30</f>
        <v>1</v>
      </c>
      <c r="C75" s="893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3"/>
      <c r="B82" s="94"/>
      <c r="C82" s="95"/>
      <c r="D82" s="69"/>
    </row>
    <row r="83" spans="1:4">
      <c r="A83" s="93"/>
      <c r="B83" s="94"/>
      <c r="C83" s="95"/>
      <c r="D83" s="69"/>
    </row>
    <row r="84" spans="1:4">
      <c r="A84" s="93"/>
      <c r="B84" s="94"/>
      <c r="C84" s="95"/>
      <c r="D84" s="69"/>
    </row>
    <row r="85" spans="1:4" ht="16.5" customHeight="1"/>
  </sheetData>
  <mergeCells count="14">
    <mergeCell ref="F54:F62"/>
    <mergeCell ref="C10:D10"/>
    <mergeCell ref="G54:H57"/>
    <mergeCell ref="G53:H53"/>
    <mergeCell ref="F2:K3"/>
    <mergeCell ref="C9:D9"/>
    <mergeCell ref="C4:D4"/>
    <mergeCell ref="A1:D1"/>
    <mergeCell ref="C2:D2"/>
    <mergeCell ref="C3:D3"/>
    <mergeCell ref="C5:D5"/>
    <mergeCell ref="C8:D8"/>
    <mergeCell ref="C6:D6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zoomScale="123" zoomScaleNormal="130" zoomScaleSheetLayoutView="100" workbookViewId="0">
      <selection activeCell="A12" sqref="A12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161" t="s">
        <v>804</v>
      </c>
      <c r="B1" s="1162"/>
      <c r="C1" s="1162"/>
      <c r="D1" s="1162"/>
    </row>
    <row r="2" spans="1:11" ht="11.25" customHeight="1">
      <c r="A2" s="108" t="s">
        <v>10</v>
      </c>
      <c r="B2" s="775">
        <v>0</v>
      </c>
      <c r="C2" s="1090" t="s">
        <v>30</v>
      </c>
      <c r="D2" s="1033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116" t="s">
        <v>1</v>
      </c>
      <c r="B3" s="782">
        <v>1</v>
      </c>
      <c r="C3" s="1163" t="s">
        <v>30</v>
      </c>
      <c r="D3" s="1164"/>
      <c r="F3" s="1055"/>
      <c r="G3" s="1056"/>
      <c r="H3" s="1056"/>
      <c r="I3" s="1056"/>
      <c r="J3" s="1056"/>
      <c r="K3" s="1057"/>
    </row>
    <row r="4" spans="1:11" ht="11.25" customHeight="1">
      <c r="A4" s="115" t="s">
        <v>150</v>
      </c>
      <c r="B4" s="775">
        <v>0</v>
      </c>
      <c r="C4" s="1165" t="s">
        <v>805</v>
      </c>
      <c r="D4" s="1041"/>
    </row>
    <row r="5" spans="1:11">
      <c r="A5" s="114" t="s">
        <v>151</v>
      </c>
      <c r="B5" s="776">
        <v>0</v>
      </c>
      <c r="C5" s="1166"/>
      <c r="D5" s="1167"/>
    </row>
    <row r="6" spans="1:11">
      <c r="A6" s="819" t="s">
        <v>156</v>
      </c>
      <c r="B6" s="776">
        <v>0</v>
      </c>
      <c r="C6" s="1152" t="s">
        <v>30</v>
      </c>
      <c r="D6" s="1153"/>
    </row>
    <row r="7" spans="1:11" ht="11.25" customHeight="1" thickBot="1">
      <c r="A7" s="820" t="s">
        <v>806</v>
      </c>
      <c r="B7" s="144">
        <v>0</v>
      </c>
      <c r="C7" s="1152" t="s">
        <v>30</v>
      </c>
      <c r="D7" s="1153"/>
    </row>
    <row r="8" spans="1:11" ht="11.25" customHeight="1">
      <c r="A8" s="821" t="s">
        <v>152</v>
      </c>
      <c r="B8" s="141">
        <v>0</v>
      </c>
      <c r="C8" s="1168" t="s">
        <v>149</v>
      </c>
      <c r="D8" s="1169"/>
    </row>
    <row r="9" spans="1:11">
      <c r="A9" s="114" t="s">
        <v>153</v>
      </c>
      <c r="B9" s="782">
        <v>0</v>
      </c>
      <c r="C9" s="1170"/>
      <c r="D9" s="1171"/>
    </row>
    <row r="10" spans="1:11">
      <c r="A10" s="114" t="s">
        <v>155</v>
      </c>
      <c r="B10" s="782">
        <v>0</v>
      </c>
      <c r="C10" s="1152" t="s">
        <v>30</v>
      </c>
      <c r="D10" s="1153"/>
    </row>
    <row r="11" spans="1:11" ht="11.25" customHeight="1">
      <c r="A11" s="822" t="s">
        <v>154</v>
      </c>
      <c r="B11" s="782">
        <v>0</v>
      </c>
      <c r="C11" s="1172" t="s">
        <v>30</v>
      </c>
      <c r="D11" s="1173"/>
    </row>
    <row r="12" spans="1:11" ht="12" thickBot="1">
      <c r="A12" s="820" t="s">
        <v>807</v>
      </c>
      <c r="B12" s="144">
        <v>0</v>
      </c>
      <c r="C12" s="1172" t="s">
        <v>30</v>
      </c>
      <c r="D12" s="1173"/>
    </row>
    <row r="13" spans="1:11" ht="12" thickBot="1">
      <c r="A13" s="823" t="s">
        <v>147</v>
      </c>
      <c r="B13" s="145">
        <v>0</v>
      </c>
      <c r="C13" s="1154" t="s">
        <v>30</v>
      </c>
      <c r="D13" s="1155"/>
    </row>
    <row r="14" spans="1:11" ht="12" thickBot="1">
      <c r="A14" s="154" t="s">
        <v>146</v>
      </c>
      <c r="B14" s="151">
        <v>0</v>
      </c>
      <c r="C14" s="1154" t="s">
        <v>30</v>
      </c>
      <c r="D14" s="1155"/>
    </row>
    <row r="15" spans="1:11" ht="12" thickBot="1">
      <c r="A15" s="154" t="s">
        <v>143</v>
      </c>
      <c r="B15" s="145">
        <v>0</v>
      </c>
      <c r="C15" s="1154" t="s">
        <v>30</v>
      </c>
      <c r="D15" s="1155"/>
    </row>
    <row r="16" spans="1:11" ht="12" thickBot="1">
      <c r="A16" s="1160"/>
      <c r="B16" s="1160"/>
      <c r="C16" s="1160"/>
      <c r="D16" s="1160"/>
    </row>
    <row r="17" spans="1:11" ht="12.75">
      <c r="A17" s="96" t="s">
        <v>5</v>
      </c>
      <c r="B17" s="97" t="s">
        <v>0</v>
      </c>
      <c r="C17" s="117" t="s">
        <v>4</v>
      </c>
      <c r="D17" s="783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795</v>
      </c>
      <c r="B18" s="112">
        <f>2*(B4+B5+B8+B9)</f>
        <v>0</v>
      </c>
      <c r="C18" s="847">
        <v>9</v>
      </c>
      <c r="D18" s="779">
        <f t="shared" ref="D18:D49" si="0">C18*B18</f>
        <v>0</v>
      </c>
    </row>
    <row r="19" spans="1:11">
      <c r="A19" s="6" t="s">
        <v>808</v>
      </c>
      <c r="B19" s="112">
        <f>(IF(B2&lt;=1,2,IF(B2&lt;=1.5,3,IF(B2&lt;=2,4,IF(B2&lt;=2.5,5,6)))))*(B4+B5)-B21</f>
        <v>0</v>
      </c>
      <c r="C19" s="847">
        <v>2</v>
      </c>
      <c r="D19" s="779">
        <f t="shared" si="0"/>
        <v>0</v>
      </c>
    </row>
    <row r="20" spans="1:11">
      <c r="A20" s="6" t="s">
        <v>809</v>
      </c>
      <c r="B20" s="112">
        <f>(IF(B2&lt;=1,2,IF(B2&lt;=1.5,3,IF(B2&lt;=2,4,IF(B2&lt;=2.5,5,6)))))*(B9+B8)-B22</f>
        <v>0</v>
      </c>
      <c r="C20" s="847"/>
      <c r="D20" s="779">
        <f t="shared" si="0"/>
        <v>0</v>
      </c>
    </row>
    <row r="21" spans="1:11">
      <c r="A21" s="6" t="s">
        <v>810</v>
      </c>
      <c r="B21" s="112">
        <f>(IF(B2&lt;=1,2,IF(B2&lt;=1.5,3,IF(B2&lt;=2,4,IF(B2&lt;=2.5,5,6)))))*(B6)</f>
        <v>0</v>
      </c>
      <c r="C21" s="847"/>
      <c r="D21" s="779">
        <f t="shared" si="0"/>
        <v>0</v>
      </c>
    </row>
    <row r="22" spans="1:11" s="5" customFormat="1" ht="12" customHeight="1">
      <c r="A22" s="6" t="s">
        <v>811</v>
      </c>
      <c r="B22" s="112">
        <f>(IF(B2&lt;=1,2,IF(B2&lt;=1.5,3,IF(B2&lt;=2,4,IF(B2&lt;=2.5,5,6)))))*B11</f>
        <v>0</v>
      </c>
      <c r="C22" s="847"/>
      <c r="D22" s="779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2">
        <f>B2*2*(B5+B9)</f>
        <v>0</v>
      </c>
      <c r="C23" s="847"/>
      <c r="D23" s="779">
        <f t="shared" si="0"/>
        <v>0</v>
      </c>
    </row>
    <row r="24" spans="1:11">
      <c r="A24" s="824" t="s">
        <v>812</v>
      </c>
      <c r="B24" s="113">
        <f>B4+B5</f>
        <v>0</v>
      </c>
      <c r="C24" s="848"/>
      <c r="D24" s="779">
        <f t="shared" si="0"/>
        <v>0</v>
      </c>
    </row>
    <row r="25" spans="1:11">
      <c r="A25" s="824" t="s">
        <v>813</v>
      </c>
      <c r="B25" s="113">
        <f>B4+B5</f>
        <v>0</v>
      </c>
      <c r="C25" s="848"/>
      <c r="D25" s="779">
        <f t="shared" si="0"/>
        <v>0</v>
      </c>
    </row>
    <row r="26" spans="1:11">
      <c r="A26" s="824" t="s">
        <v>120</v>
      </c>
      <c r="B26" s="112">
        <f>(B8+B9)-B10</f>
        <v>0</v>
      </c>
      <c r="C26" s="847"/>
      <c r="D26" s="779">
        <f t="shared" si="0"/>
        <v>0</v>
      </c>
    </row>
    <row r="27" spans="1:11">
      <c r="A27" s="824" t="s">
        <v>121</v>
      </c>
      <c r="B27" s="112">
        <f>B10</f>
        <v>0</v>
      </c>
      <c r="C27" s="847"/>
      <c r="D27" s="779">
        <f t="shared" si="0"/>
        <v>0</v>
      </c>
    </row>
    <row r="28" spans="1:11">
      <c r="A28" s="7" t="s">
        <v>119</v>
      </c>
      <c r="B28" s="112">
        <f>B2*(B4+B5+B8+B9)</f>
        <v>0</v>
      </c>
      <c r="C28" s="847"/>
      <c r="D28" s="779">
        <f t="shared" si="0"/>
        <v>0</v>
      </c>
    </row>
    <row r="29" spans="1:11">
      <c r="A29" s="825" t="s">
        <v>229</v>
      </c>
      <c r="B29" s="112">
        <f>B4+B5</f>
        <v>0</v>
      </c>
      <c r="C29" s="847"/>
      <c r="D29" s="779">
        <f t="shared" si="0"/>
        <v>0</v>
      </c>
    </row>
    <row r="30" spans="1:11">
      <c r="A30" s="6" t="s">
        <v>118</v>
      </c>
      <c r="B30" s="112">
        <f>B28</f>
        <v>0</v>
      </c>
      <c r="C30" s="847"/>
      <c r="D30" s="779">
        <f t="shared" si="0"/>
        <v>0</v>
      </c>
    </row>
    <row r="31" spans="1:11">
      <c r="A31" s="6" t="s">
        <v>814</v>
      </c>
      <c r="B31" s="112">
        <f>B2*B4</f>
        <v>0</v>
      </c>
      <c r="C31" s="847"/>
      <c r="D31" s="779">
        <f t="shared" si="0"/>
        <v>0</v>
      </c>
    </row>
    <row r="32" spans="1:11">
      <c r="A32" s="6" t="s">
        <v>815</v>
      </c>
      <c r="B32" s="112">
        <f>B2*B5</f>
        <v>0</v>
      </c>
      <c r="C32" s="847"/>
      <c r="D32" s="779">
        <f t="shared" si="0"/>
        <v>0</v>
      </c>
    </row>
    <row r="33" spans="1:4">
      <c r="A33" s="6" t="s">
        <v>816</v>
      </c>
      <c r="B33" s="112">
        <f>B2*B8</f>
        <v>0</v>
      </c>
      <c r="C33" s="847"/>
      <c r="D33" s="779">
        <f t="shared" si="0"/>
        <v>0</v>
      </c>
    </row>
    <row r="34" spans="1:4">
      <c r="A34" s="6" t="s">
        <v>817</v>
      </c>
      <c r="B34" s="112">
        <f>B2*B9</f>
        <v>0</v>
      </c>
      <c r="C34" s="847"/>
      <c r="D34" s="779">
        <f t="shared" si="0"/>
        <v>0</v>
      </c>
    </row>
    <row r="35" spans="1:4">
      <c r="A35" s="6" t="s">
        <v>818</v>
      </c>
      <c r="B35" s="112">
        <f>B2*(B4+B5)</f>
        <v>0</v>
      </c>
      <c r="C35" s="847"/>
      <c r="D35" s="779">
        <f t="shared" si="0"/>
        <v>0</v>
      </c>
    </row>
    <row r="36" spans="1:4">
      <c r="A36" s="6" t="s">
        <v>819</v>
      </c>
      <c r="B36" s="112">
        <f>B2*(B8+B9)</f>
        <v>0</v>
      </c>
      <c r="C36" s="847"/>
      <c r="D36" s="779">
        <f t="shared" si="0"/>
        <v>0</v>
      </c>
    </row>
    <row r="37" spans="1:4">
      <c r="A37" s="7" t="s">
        <v>797</v>
      </c>
      <c r="B37" s="112">
        <f>B2*(B4+B5+B8+B9)</f>
        <v>0</v>
      </c>
      <c r="C37" s="847"/>
      <c r="D37" s="779">
        <f t="shared" si="0"/>
        <v>0</v>
      </c>
    </row>
    <row r="38" spans="1:4">
      <c r="A38" s="7" t="s">
        <v>820</v>
      </c>
      <c r="B38" s="113">
        <f>B2*(B4+B5)</f>
        <v>0</v>
      </c>
      <c r="C38" s="906"/>
      <c r="D38" s="779">
        <f t="shared" si="0"/>
        <v>0</v>
      </c>
    </row>
    <row r="39" spans="1:4">
      <c r="A39" s="6" t="s">
        <v>798</v>
      </c>
      <c r="B39" s="113">
        <f>B2*(B8+B9)</f>
        <v>0</v>
      </c>
      <c r="C39" s="847"/>
      <c r="D39" s="779">
        <f t="shared" si="0"/>
        <v>0</v>
      </c>
    </row>
    <row r="40" spans="1:4">
      <c r="A40" s="7" t="s">
        <v>139</v>
      </c>
      <c r="B40" s="113">
        <f>B4+B5</f>
        <v>0</v>
      </c>
      <c r="C40" s="848"/>
      <c r="D40" s="779">
        <f t="shared" si="0"/>
        <v>0</v>
      </c>
    </row>
    <row r="41" spans="1:4">
      <c r="A41" s="7" t="s">
        <v>140</v>
      </c>
      <c r="B41" s="113">
        <f>B8+B9</f>
        <v>0</v>
      </c>
      <c r="C41" s="848"/>
      <c r="D41" s="779">
        <f t="shared" si="0"/>
        <v>0</v>
      </c>
    </row>
    <row r="42" spans="1:4">
      <c r="A42" s="7" t="s">
        <v>821</v>
      </c>
      <c r="B42" s="113">
        <f>B40</f>
        <v>0</v>
      </c>
      <c r="C42" s="848"/>
      <c r="D42" s="779">
        <f t="shared" si="0"/>
        <v>0</v>
      </c>
    </row>
    <row r="43" spans="1:4">
      <c r="A43" s="7" t="s">
        <v>822</v>
      </c>
      <c r="B43" s="113">
        <f>B7</f>
        <v>0</v>
      </c>
      <c r="C43" s="848"/>
      <c r="D43" s="779">
        <f t="shared" si="0"/>
        <v>0</v>
      </c>
    </row>
    <row r="44" spans="1:4">
      <c r="A44" s="7" t="s">
        <v>800</v>
      </c>
      <c r="B44" s="113">
        <f>B12</f>
        <v>0</v>
      </c>
      <c r="C44" s="848"/>
      <c r="D44" s="779">
        <f t="shared" si="0"/>
        <v>0</v>
      </c>
    </row>
    <row r="45" spans="1:4" hidden="1">
      <c r="A45" s="7" t="s">
        <v>801</v>
      </c>
      <c r="B45" s="113">
        <f>B41</f>
        <v>0</v>
      </c>
      <c r="C45" s="848"/>
      <c r="D45" s="779">
        <f t="shared" si="0"/>
        <v>0</v>
      </c>
    </row>
    <row r="46" spans="1:4">
      <c r="A46" s="152" t="s">
        <v>145</v>
      </c>
      <c r="B46" s="113">
        <f>B14</f>
        <v>0</v>
      </c>
      <c r="C46" s="848"/>
      <c r="D46" s="779">
        <f t="shared" si="0"/>
        <v>0</v>
      </c>
    </row>
    <row r="47" spans="1:4">
      <c r="A47" s="152" t="s">
        <v>148</v>
      </c>
      <c r="B47" s="113">
        <f>B13</f>
        <v>0</v>
      </c>
      <c r="C47" s="848"/>
      <c r="D47" s="779">
        <f t="shared" si="0"/>
        <v>0</v>
      </c>
    </row>
    <row r="48" spans="1:4">
      <c r="A48" s="152" t="s">
        <v>802</v>
      </c>
      <c r="B48" s="153">
        <f>B15</f>
        <v>0</v>
      </c>
      <c r="C48" s="907"/>
      <c r="D48" s="779">
        <f t="shared" si="0"/>
        <v>0</v>
      </c>
    </row>
    <row r="49" spans="1:4" ht="12" thickBot="1">
      <c r="A49" s="30" t="s">
        <v>803</v>
      </c>
      <c r="B49" s="118">
        <f>B15</f>
        <v>0</v>
      </c>
      <c r="C49" s="908"/>
      <c r="D49" s="779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3"/>
      <c r="B63" s="94"/>
      <c r="C63" s="95"/>
      <c r="D63" s="69"/>
    </row>
    <row r="64" spans="1:4">
      <c r="A64" s="93"/>
      <c r="B64" s="94"/>
      <c r="C64" s="95"/>
      <c r="D64" s="69"/>
    </row>
    <row r="65" spans="1:4">
      <c r="A65" s="93"/>
      <c r="B65" s="94"/>
      <c r="C65" s="95"/>
      <c r="D65" s="69"/>
    </row>
    <row r="66" spans="1:4" ht="16.5" customHeight="1"/>
  </sheetData>
  <protectedRanges>
    <protectedRange algorithmName="SHA-512" hashValue="w+tLbxvaaXjTqFxRS0V7+jTKLcippewPYE6KSXQsITF9LvI2pevbmarAb3o+yG2xobXuwCTadEEr6/0N/Ajvyw==" saltValue="YnQcRmD95OlVqo38ZxuJew==" spinCount="100000" sqref="A18:A49" name="Диапазон2"/>
    <protectedRange algorithmName="SHA-512" hashValue="q/MDyOKu+yX7GnFl8cPbLdXcOkN5i7UNHxGkZB4VX6Wa15x6TSg7+NTER4twzZlXuyuGphhXjdPCUjJW2KBZtQ==" saltValue="ZVyJjCFOIQ20hkMSBZfWzw==" spinCount="100000" sqref="A2:A15" name="Диапазон1"/>
  </protectedRanges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B3" sqref="B3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176" t="s">
        <v>823</v>
      </c>
      <c r="B1" s="1162"/>
      <c r="C1" s="1162"/>
      <c r="D1" s="1162"/>
    </row>
    <row r="2" spans="1:11" ht="11.25" customHeight="1">
      <c r="A2" s="108" t="s">
        <v>10</v>
      </c>
      <c r="B2" s="827">
        <v>1</v>
      </c>
      <c r="C2" s="1090" t="s">
        <v>30</v>
      </c>
      <c r="D2" s="1033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110" t="s">
        <v>1</v>
      </c>
      <c r="B3" s="828">
        <v>0</v>
      </c>
      <c r="C3" s="1177" t="s">
        <v>30</v>
      </c>
      <c r="D3" s="1178"/>
      <c r="F3" s="1055"/>
      <c r="G3" s="1056"/>
      <c r="H3" s="1056"/>
      <c r="I3" s="1056"/>
      <c r="J3" s="1056"/>
      <c r="K3" s="1057"/>
    </row>
    <row r="4" spans="1:11" ht="11.25" customHeight="1">
      <c r="A4" s="120" t="s">
        <v>824</v>
      </c>
      <c r="B4" s="899">
        <v>0</v>
      </c>
      <c r="C4" s="1174" t="s">
        <v>30</v>
      </c>
      <c r="D4" s="1035"/>
    </row>
    <row r="5" spans="1:11" ht="12" thickBot="1">
      <c r="A5" s="143" t="s">
        <v>794</v>
      </c>
      <c r="B5" s="909">
        <v>0</v>
      </c>
      <c r="C5" s="1163" t="s">
        <v>30</v>
      </c>
      <c r="D5" s="1164"/>
    </row>
    <row r="6" spans="1:11" ht="12" thickBot="1">
      <c r="A6" s="818" t="s">
        <v>147</v>
      </c>
      <c r="B6" s="901">
        <v>0</v>
      </c>
      <c r="C6" s="1154" t="s">
        <v>30</v>
      </c>
      <c r="D6" s="1155"/>
    </row>
    <row r="7" spans="1:11" ht="12" thickBot="1">
      <c r="A7" s="146" t="s">
        <v>146</v>
      </c>
      <c r="B7" s="902">
        <v>0</v>
      </c>
      <c r="C7" s="1154" t="s">
        <v>30</v>
      </c>
      <c r="D7" s="1155"/>
    </row>
    <row r="8" spans="1:11" ht="11.25" customHeight="1" thickBot="1">
      <c r="A8" s="146" t="s">
        <v>143</v>
      </c>
      <c r="B8" s="901">
        <v>0</v>
      </c>
      <c r="C8" s="1154" t="s">
        <v>30</v>
      </c>
      <c r="D8" s="1155"/>
    </row>
    <row r="9" spans="1:11" ht="12" thickBot="1">
      <c r="A9" s="1175"/>
      <c r="B9" s="1175"/>
      <c r="C9" s="1175"/>
      <c r="D9" s="1175"/>
    </row>
    <row r="10" spans="1:11" ht="12.75">
      <c r="A10" s="96" t="s">
        <v>5</v>
      </c>
      <c r="B10" s="97" t="s">
        <v>0</v>
      </c>
      <c r="C10" s="117" t="s">
        <v>4</v>
      </c>
      <c r="D10" s="791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2">
        <f>4*B4</f>
        <v>0</v>
      </c>
      <c r="C11" s="847">
        <v>9</v>
      </c>
      <c r="D11" s="790">
        <f t="shared" ref="D11:D24" si="0">C11*B11</f>
        <v>0</v>
      </c>
    </row>
    <row r="12" spans="1:11">
      <c r="A12" s="7" t="s">
        <v>825</v>
      </c>
      <c r="B12" s="826">
        <f>B4</f>
        <v>0</v>
      </c>
      <c r="C12" s="833"/>
      <c r="D12" s="790">
        <f t="shared" si="0"/>
        <v>0</v>
      </c>
    </row>
    <row r="13" spans="1:11" s="5" customFormat="1" ht="12.75" customHeight="1">
      <c r="A13" s="6" t="s">
        <v>826</v>
      </c>
      <c r="B13" s="112">
        <f>B12</f>
        <v>0</v>
      </c>
      <c r="C13" s="831"/>
      <c r="D13" s="790">
        <f t="shared" si="0"/>
        <v>0</v>
      </c>
      <c r="E13" s="69"/>
      <c r="F13" s="69"/>
      <c r="G13"/>
      <c r="H13"/>
      <c r="I13"/>
      <c r="J13"/>
      <c r="K13"/>
    </row>
    <row r="14" spans="1:11">
      <c r="A14" s="7" t="s">
        <v>119</v>
      </c>
      <c r="B14" s="113">
        <f>2*B2*B4</f>
        <v>0</v>
      </c>
      <c r="C14" s="847"/>
      <c r="D14" s="790">
        <f t="shared" si="0"/>
        <v>0</v>
      </c>
    </row>
    <row r="15" spans="1:11">
      <c r="A15" s="6" t="s">
        <v>118</v>
      </c>
      <c r="B15" s="112">
        <f>B14</f>
        <v>0</v>
      </c>
      <c r="C15" s="847"/>
      <c r="D15" s="790">
        <f t="shared" si="0"/>
        <v>0</v>
      </c>
    </row>
    <row r="16" spans="1:11">
      <c r="A16" s="7" t="s">
        <v>797</v>
      </c>
      <c r="B16" s="113">
        <f>2*B2*B4</f>
        <v>0</v>
      </c>
      <c r="C16" s="847"/>
      <c r="D16" s="790">
        <f t="shared" si="0"/>
        <v>0</v>
      </c>
    </row>
    <row r="17" spans="1:4">
      <c r="A17" s="6" t="s">
        <v>798</v>
      </c>
      <c r="B17" s="112">
        <f>B2*B4*2</f>
        <v>0</v>
      </c>
      <c r="C17" s="847"/>
      <c r="D17" s="790">
        <f t="shared" si="0"/>
        <v>0</v>
      </c>
    </row>
    <row r="18" spans="1:4">
      <c r="A18" s="7" t="s">
        <v>140</v>
      </c>
      <c r="B18" s="113">
        <f>B4*2</f>
        <v>0</v>
      </c>
      <c r="C18" s="848"/>
      <c r="D18" s="790">
        <f t="shared" si="0"/>
        <v>0</v>
      </c>
    </row>
    <row r="19" spans="1:4">
      <c r="A19" s="7" t="s">
        <v>800</v>
      </c>
      <c r="B19" s="113">
        <f>B5</f>
        <v>0</v>
      </c>
      <c r="C19" s="848"/>
      <c r="D19" s="790">
        <f t="shared" si="0"/>
        <v>0</v>
      </c>
    </row>
    <row r="20" spans="1:4" hidden="1">
      <c r="A20" s="7" t="s">
        <v>801</v>
      </c>
      <c r="B20" s="113">
        <f>B4</f>
        <v>0</v>
      </c>
      <c r="C20" s="848"/>
      <c r="D20" s="790">
        <f t="shared" si="0"/>
        <v>0</v>
      </c>
    </row>
    <row r="21" spans="1:4">
      <c r="A21" s="152" t="s">
        <v>145</v>
      </c>
      <c r="B21" s="113">
        <f>B7</f>
        <v>0</v>
      </c>
      <c r="C21" s="848"/>
      <c r="D21" s="790">
        <f t="shared" si="0"/>
        <v>0</v>
      </c>
    </row>
    <row r="22" spans="1:4">
      <c r="A22" s="152" t="s">
        <v>148</v>
      </c>
      <c r="B22" s="113">
        <f>B6</f>
        <v>0</v>
      </c>
      <c r="C22" s="848"/>
      <c r="D22" s="790">
        <f t="shared" si="0"/>
        <v>0</v>
      </c>
    </row>
    <row r="23" spans="1:4">
      <c r="A23" s="152" t="s">
        <v>802</v>
      </c>
      <c r="B23" s="113">
        <f>B8</f>
        <v>0</v>
      </c>
      <c r="C23" s="848"/>
      <c r="D23" s="790">
        <f t="shared" si="0"/>
        <v>0</v>
      </c>
    </row>
    <row r="24" spans="1:4" ht="12" thickBot="1">
      <c r="A24" s="30" t="s">
        <v>803</v>
      </c>
      <c r="B24" s="118">
        <f>B8</f>
        <v>0</v>
      </c>
      <c r="C24" s="908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F2:K3"/>
    <mergeCell ref="A1:D1"/>
    <mergeCell ref="C2:D2"/>
    <mergeCell ref="C3:D3"/>
    <mergeCell ref="C6:D6"/>
    <mergeCell ref="C7:D7"/>
    <mergeCell ref="C4:D4"/>
    <mergeCell ref="C5:D5"/>
    <mergeCell ref="C8:D8"/>
    <mergeCell ref="A9:D9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176" t="s">
        <v>827</v>
      </c>
      <c r="B1" s="1162"/>
      <c r="C1" s="1162"/>
      <c r="D1" s="1162"/>
    </row>
    <row r="2" spans="1:11" ht="11.25" customHeight="1">
      <c r="A2" s="108" t="s">
        <v>10</v>
      </c>
      <c r="B2" s="827">
        <v>2</v>
      </c>
      <c r="C2" s="1090" t="s">
        <v>125</v>
      </c>
      <c r="D2" s="1033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110" t="s">
        <v>1</v>
      </c>
      <c r="B3" s="828">
        <v>0</v>
      </c>
      <c r="C3" s="1177" t="s">
        <v>30</v>
      </c>
      <c r="D3" s="1178"/>
      <c r="F3" s="1055"/>
      <c r="G3" s="1056"/>
      <c r="H3" s="1056"/>
      <c r="I3" s="1056"/>
      <c r="J3" s="1056"/>
      <c r="K3" s="1057"/>
    </row>
    <row r="4" spans="1:11">
      <c r="A4" s="120" t="s">
        <v>123</v>
      </c>
      <c r="B4" s="899">
        <v>0</v>
      </c>
      <c r="C4" s="1148" t="s">
        <v>30</v>
      </c>
      <c r="D4" s="1149"/>
    </row>
    <row r="5" spans="1:11" ht="12" thickBot="1">
      <c r="A5" s="143" t="s">
        <v>794</v>
      </c>
      <c r="B5" s="909">
        <v>0</v>
      </c>
      <c r="C5" s="1172" t="s">
        <v>30</v>
      </c>
      <c r="D5" s="1173"/>
    </row>
    <row r="6" spans="1:11" ht="12" thickBot="1">
      <c r="A6" s="818" t="s">
        <v>147</v>
      </c>
      <c r="B6" s="901">
        <v>0</v>
      </c>
      <c r="C6" s="1154" t="s">
        <v>30</v>
      </c>
      <c r="D6" s="1155"/>
    </row>
    <row r="7" spans="1:11" s="5" customFormat="1" ht="18" customHeight="1" thickBot="1">
      <c r="A7" s="146" t="s">
        <v>146</v>
      </c>
      <c r="B7" s="902">
        <v>0</v>
      </c>
      <c r="C7" s="1154" t="s">
        <v>30</v>
      </c>
      <c r="D7" s="1155"/>
      <c r="E7"/>
      <c r="F7"/>
      <c r="G7"/>
      <c r="H7"/>
      <c r="I7"/>
      <c r="J7"/>
      <c r="K7"/>
    </row>
    <row r="8" spans="1:11" ht="12" thickBot="1">
      <c r="A8" s="146" t="s">
        <v>143</v>
      </c>
      <c r="B8" s="902">
        <v>0</v>
      </c>
      <c r="C8" s="1154" t="s">
        <v>30</v>
      </c>
      <c r="D8" s="1155"/>
    </row>
    <row r="9" spans="1:11" ht="12" thickBot="1">
      <c r="A9" s="1175"/>
      <c r="B9" s="1175"/>
      <c r="C9" s="1175"/>
      <c r="D9" s="1175"/>
    </row>
    <row r="10" spans="1:11" ht="12.75">
      <c r="A10" s="96" t="s">
        <v>5</v>
      </c>
      <c r="B10" s="97" t="s">
        <v>0</v>
      </c>
      <c r="C10" s="117" t="s">
        <v>4</v>
      </c>
      <c r="D10" s="791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2">
        <f>4*B4</f>
        <v>0</v>
      </c>
      <c r="C11" s="847">
        <v>9</v>
      </c>
      <c r="D11" s="790">
        <f t="shared" ref="D11" si="0">C11*B11</f>
        <v>0</v>
      </c>
    </row>
    <row r="12" spans="1:11">
      <c r="A12" s="6" t="s">
        <v>126</v>
      </c>
      <c r="B12" s="112">
        <f>B4</f>
        <v>0</v>
      </c>
      <c r="C12" s="847"/>
      <c r="D12" s="790">
        <f>C12*B12</f>
        <v>0</v>
      </c>
    </row>
    <row r="13" spans="1:11">
      <c r="A13" s="6" t="s">
        <v>796</v>
      </c>
      <c r="B13" s="112">
        <f>2*B4</f>
        <v>0</v>
      </c>
      <c r="C13" s="847"/>
      <c r="D13" s="790">
        <f>C13*B13</f>
        <v>0</v>
      </c>
      <c r="E13" s="69"/>
      <c r="F13" s="69"/>
    </row>
    <row r="14" spans="1:11">
      <c r="A14" s="7" t="s">
        <v>119</v>
      </c>
      <c r="B14" s="113">
        <f>B2*B4</f>
        <v>0</v>
      </c>
      <c r="C14" s="847"/>
      <c r="D14" s="790">
        <f t="shared" ref="D14:D25" si="1">C14*B14</f>
        <v>0</v>
      </c>
    </row>
    <row r="15" spans="1:11">
      <c r="A15" s="6" t="s">
        <v>118</v>
      </c>
      <c r="B15" s="112">
        <f>B16</f>
        <v>0</v>
      </c>
      <c r="C15" s="847"/>
      <c r="D15" s="790">
        <f t="shared" si="1"/>
        <v>0</v>
      </c>
    </row>
    <row r="16" spans="1:11">
      <c r="A16" s="7" t="s">
        <v>797</v>
      </c>
      <c r="B16" s="113">
        <f>B2*B4</f>
        <v>0</v>
      </c>
      <c r="C16" s="847"/>
      <c r="D16" s="790">
        <f t="shared" si="1"/>
        <v>0</v>
      </c>
    </row>
    <row r="17" spans="1:4">
      <c r="A17" s="6" t="s">
        <v>798</v>
      </c>
      <c r="B17" s="112">
        <f>B2*B4</f>
        <v>0</v>
      </c>
      <c r="C17" s="847"/>
      <c r="D17" s="790">
        <f t="shared" si="1"/>
        <v>0</v>
      </c>
    </row>
    <row r="18" spans="1:4">
      <c r="A18" s="7" t="s">
        <v>140</v>
      </c>
      <c r="B18" s="113">
        <f>2*B4</f>
        <v>0</v>
      </c>
      <c r="C18" s="848"/>
      <c r="D18" s="790">
        <f t="shared" si="1"/>
        <v>0</v>
      </c>
    </row>
    <row r="19" spans="1:4">
      <c r="A19" s="152" t="s">
        <v>799</v>
      </c>
      <c r="B19" s="153">
        <f>B4</f>
        <v>0</v>
      </c>
      <c r="C19" s="907"/>
      <c r="D19" s="790">
        <f t="shared" si="1"/>
        <v>0</v>
      </c>
    </row>
    <row r="20" spans="1:4">
      <c r="A20" s="7" t="s">
        <v>800</v>
      </c>
      <c r="B20" s="113">
        <f>B5</f>
        <v>0</v>
      </c>
      <c r="C20" s="907"/>
      <c r="D20" s="790">
        <f t="shared" si="1"/>
        <v>0</v>
      </c>
    </row>
    <row r="21" spans="1:4" hidden="1">
      <c r="A21" s="7" t="s">
        <v>801</v>
      </c>
      <c r="B21" s="113">
        <f>B4*2</f>
        <v>0</v>
      </c>
      <c r="C21" s="907"/>
      <c r="D21" s="790">
        <f t="shared" si="1"/>
        <v>0</v>
      </c>
    </row>
    <row r="22" spans="1:4">
      <c r="A22" s="152" t="s">
        <v>145</v>
      </c>
      <c r="B22" s="113">
        <f>B7</f>
        <v>0</v>
      </c>
      <c r="C22" s="907"/>
      <c r="D22" s="790">
        <f t="shared" si="1"/>
        <v>0</v>
      </c>
    </row>
    <row r="23" spans="1:4">
      <c r="A23" s="152" t="s">
        <v>148</v>
      </c>
      <c r="B23" s="113">
        <f>B6</f>
        <v>0</v>
      </c>
      <c r="C23" s="907"/>
      <c r="D23" s="790">
        <f t="shared" si="1"/>
        <v>0</v>
      </c>
    </row>
    <row r="24" spans="1:4">
      <c r="A24" s="152" t="s">
        <v>802</v>
      </c>
      <c r="B24" s="113">
        <f>B8</f>
        <v>0</v>
      </c>
      <c r="C24" s="907"/>
      <c r="D24" s="790">
        <f t="shared" si="1"/>
        <v>0</v>
      </c>
    </row>
    <row r="25" spans="1:4" ht="12" thickBot="1">
      <c r="A25" s="30" t="s">
        <v>803</v>
      </c>
      <c r="B25" s="118">
        <f>B8</f>
        <v>0</v>
      </c>
      <c r="C25" s="908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A1:D1"/>
    <mergeCell ref="C2:D2"/>
    <mergeCell ref="C3:D3"/>
    <mergeCell ref="C4:D4"/>
    <mergeCell ref="C6:D6"/>
    <mergeCell ref="C7:D7"/>
    <mergeCell ref="C8:D8"/>
    <mergeCell ref="A9:D9"/>
    <mergeCell ref="C5:D5"/>
    <mergeCell ref="F2:K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176" t="s">
        <v>793</v>
      </c>
      <c r="B1" s="1162"/>
      <c r="C1" s="1162"/>
      <c r="D1" s="1162"/>
    </row>
    <row r="2" spans="1:11" ht="11.25" customHeight="1">
      <c r="A2" s="108" t="s">
        <v>10</v>
      </c>
      <c r="B2" s="851">
        <v>0</v>
      </c>
      <c r="C2" s="1090" t="s">
        <v>125</v>
      </c>
      <c r="D2" s="1033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110" t="s">
        <v>1</v>
      </c>
      <c r="B3" s="855">
        <v>0</v>
      </c>
      <c r="C3" s="1177" t="s">
        <v>30</v>
      </c>
      <c r="D3" s="1178"/>
      <c r="F3" s="1055"/>
      <c r="G3" s="1056"/>
      <c r="H3" s="1056"/>
      <c r="I3" s="1056"/>
      <c r="J3" s="1056"/>
      <c r="K3" s="1057"/>
    </row>
    <row r="4" spans="1:11">
      <c r="A4" s="120" t="s">
        <v>127</v>
      </c>
      <c r="B4" s="854">
        <v>2</v>
      </c>
      <c r="C4" s="1174" t="s">
        <v>128</v>
      </c>
      <c r="D4" s="1035"/>
      <c r="F4" s="119"/>
      <c r="G4" s="119"/>
      <c r="H4" s="119"/>
      <c r="I4" s="119"/>
      <c r="J4" s="119"/>
      <c r="K4" s="119"/>
    </row>
    <row r="5" spans="1:11">
      <c r="A5" s="109" t="s">
        <v>123</v>
      </c>
      <c r="B5" s="852">
        <v>0</v>
      </c>
      <c r="C5" s="1092" t="s">
        <v>30</v>
      </c>
      <c r="D5" s="1093"/>
    </row>
    <row r="6" spans="1:11" ht="12" thickBot="1">
      <c r="A6" s="143" t="s">
        <v>794</v>
      </c>
      <c r="B6" s="144">
        <v>0</v>
      </c>
      <c r="C6" s="1163" t="s">
        <v>30</v>
      </c>
      <c r="D6" s="1164"/>
    </row>
    <row r="7" spans="1:11" ht="12" thickBot="1">
      <c r="A7" s="818" t="s">
        <v>147</v>
      </c>
      <c r="B7" s="856">
        <v>0</v>
      </c>
      <c r="C7" s="1179" t="s">
        <v>30</v>
      </c>
      <c r="D7" s="1180"/>
    </row>
    <row r="8" spans="1:11" s="5" customFormat="1" ht="18" customHeight="1" thickBot="1">
      <c r="A8" s="818" t="s">
        <v>146</v>
      </c>
      <c r="B8" s="856">
        <v>0</v>
      </c>
      <c r="C8" s="1179" t="s">
        <v>30</v>
      </c>
      <c r="D8" s="1180"/>
      <c r="E8"/>
      <c r="F8"/>
      <c r="G8"/>
      <c r="H8"/>
      <c r="I8"/>
      <c r="J8"/>
      <c r="K8"/>
    </row>
    <row r="9" spans="1:11" ht="12" thickBot="1">
      <c r="A9" s="146" t="s">
        <v>143</v>
      </c>
      <c r="B9" s="151">
        <v>0</v>
      </c>
      <c r="C9" s="1181" t="s">
        <v>30</v>
      </c>
      <c r="D9" s="1182"/>
    </row>
    <row r="10" spans="1:11" ht="12" thickBot="1">
      <c r="A10" s="1175"/>
      <c r="B10" s="1175"/>
      <c r="C10" s="1175"/>
      <c r="D10" s="1175"/>
    </row>
    <row r="11" spans="1:11" ht="12.75">
      <c r="A11" s="96" t="s">
        <v>5</v>
      </c>
      <c r="B11" s="97" t="s">
        <v>0</v>
      </c>
      <c r="C11" s="117" t="s">
        <v>4</v>
      </c>
      <c r="D11" s="791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795</v>
      </c>
      <c r="B12" s="112">
        <f>2*B5*B4</f>
        <v>0</v>
      </c>
      <c r="C12" s="847">
        <v>9</v>
      </c>
      <c r="D12" s="790">
        <f t="shared" ref="D12:D26" si="0">C12*B12</f>
        <v>0</v>
      </c>
    </row>
    <row r="13" spans="1:11">
      <c r="A13" s="6" t="s">
        <v>129</v>
      </c>
      <c r="B13" s="112">
        <f>(B4-1)*B5</f>
        <v>0</v>
      </c>
      <c r="C13" s="847"/>
      <c r="D13" s="790">
        <f t="shared" si="0"/>
        <v>0</v>
      </c>
    </row>
    <row r="14" spans="1:11">
      <c r="A14" s="6" t="s">
        <v>796</v>
      </c>
      <c r="B14" s="112">
        <f>2*B5</f>
        <v>0</v>
      </c>
      <c r="C14" s="847"/>
      <c r="D14" s="790">
        <f t="shared" si="0"/>
        <v>0</v>
      </c>
      <c r="E14" s="69"/>
      <c r="F14" s="69"/>
    </row>
    <row r="15" spans="1:11">
      <c r="A15" s="7" t="s">
        <v>119</v>
      </c>
      <c r="B15" s="113">
        <f>B2*B5</f>
        <v>0</v>
      </c>
      <c r="C15" s="847"/>
      <c r="D15" s="790">
        <f t="shared" si="0"/>
        <v>0</v>
      </c>
    </row>
    <row r="16" spans="1:11">
      <c r="A16" s="6" t="s">
        <v>118</v>
      </c>
      <c r="B16" s="112">
        <f>B15</f>
        <v>0</v>
      </c>
      <c r="C16" s="847"/>
      <c r="D16" s="790">
        <f t="shared" si="0"/>
        <v>0</v>
      </c>
    </row>
    <row r="17" spans="1:4">
      <c r="A17" s="7" t="s">
        <v>797</v>
      </c>
      <c r="B17" s="113">
        <f>B2*B5</f>
        <v>0</v>
      </c>
      <c r="C17" s="847"/>
      <c r="D17" s="790">
        <f t="shared" si="0"/>
        <v>0</v>
      </c>
    </row>
    <row r="18" spans="1:4">
      <c r="A18" s="6" t="s">
        <v>798</v>
      </c>
      <c r="B18" s="112">
        <f>B2*B5</f>
        <v>0</v>
      </c>
      <c r="C18" s="847"/>
      <c r="D18" s="790">
        <f t="shared" si="0"/>
        <v>0</v>
      </c>
    </row>
    <row r="19" spans="1:4">
      <c r="A19" s="7" t="s">
        <v>140</v>
      </c>
      <c r="B19" s="113">
        <f>B5</f>
        <v>0</v>
      </c>
      <c r="C19" s="848"/>
      <c r="D19" s="790">
        <f t="shared" si="0"/>
        <v>0</v>
      </c>
    </row>
    <row r="20" spans="1:4">
      <c r="A20" s="152" t="s">
        <v>799</v>
      </c>
      <c r="B20" s="153">
        <f>B13</f>
        <v>0</v>
      </c>
      <c r="C20" s="907"/>
      <c r="D20" s="790">
        <f t="shared" si="0"/>
        <v>0</v>
      </c>
    </row>
    <row r="21" spans="1:4">
      <c r="A21" s="7" t="s">
        <v>800</v>
      </c>
      <c r="B21" s="113">
        <f>B6</f>
        <v>0</v>
      </c>
      <c r="C21" s="907"/>
      <c r="D21" s="790">
        <f t="shared" si="0"/>
        <v>0</v>
      </c>
    </row>
    <row r="22" spans="1:4">
      <c r="A22" s="7" t="s">
        <v>801</v>
      </c>
      <c r="B22" s="113">
        <f>B5</f>
        <v>0</v>
      </c>
      <c r="C22" s="907"/>
      <c r="D22" s="790">
        <f t="shared" si="0"/>
        <v>0</v>
      </c>
    </row>
    <row r="23" spans="1:4">
      <c r="A23" s="152" t="s">
        <v>145</v>
      </c>
      <c r="B23" s="113">
        <f>B8</f>
        <v>0</v>
      </c>
      <c r="C23" s="907"/>
      <c r="D23" s="790">
        <f t="shared" si="0"/>
        <v>0</v>
      </c>
    </row>
    <row r="24" spans="1:4">
      <c r="A24" s="152" t="s">
        <v>148</v>
      </c>
      <c r="B24" s="113">
        <f>B7</f>
        <v>0</v>
      </c>
      <c r="C24" s="907"/>
      <c r="D24" s="790">
        <f t="shared" si="0"/>
        <v>0</v>
      </c>
    </row>
    <row r="25" spans="1:4">
      <c r="A25" s="152" t="s">
        <v>802</v>
      </c>
      <c r="B25" s="113">
        <f>B9</f>
        <v>0</v>
      </c>
      <c r="C25" s="907"/>
      <c r="D25" s="790">
        <f t="shared" si="0"/>
        <v>0</v>
      </c>
    </row>
    <row r="26" spans="1:4" ht="12" thickBot="1">
      <c r="A26" s="30" t="s">
        <v>803</v>
      </c>
      <c r="B26" s="118">
        <f>B9</f>
        <v>0</v>
      </c>
      <c r="C26" s="908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A1:D1"/>
    <mergeCell ref="C2:D2"/>
    <mergeCell ref="C3:D3"/>
    <mergeCell ref="C4:D4"/>
    <mergeCell ref="C6:D6"/>
    <mergeCell ref="C8:D8"/>
    <mergeCell ref="C9:D9"/>
    <mergeCell ref="A10:D10"/>
    <mergeCell ref="C5:D5"/>
    <mergeCell ref="F2:K3"/>
    <mergeCell ref="C7:D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176" t="s">
        <v>834</v>
      </c>
      <c r="B1" s="1162"/>
      <c r="C1" s="1162"/>
      <c r="D1" s="1162"/>
    </row>
    <row r="2" spans="1:11">
      <c r="A2" s="108" t="s">
        <v>10</v>
      </c>
      <c r="B2" s="827">
        <v>0</v>
      </c>
      <c r="D2" s="1052" t="s">
        <v>122</v>
      </c>
      <c r="E2" s="1053"/>
      <c r="F2" s="1053"/>
      <c r="G2" s="1053"/>
      <c r="H2" s="1053"/>
      <c r="I2" s="1054"/>
    </row>
    <row r="3" spans="1:11" ht="12" thickBot="1">
      <c r="A3" s="110" t="s">
        <v>1</v>
      </c>
      <c r="B3" s="828">
        <v>0</v>
      </c>
      <c r="D3" s="1055"/>
      <c r="E3" s="1056"/>
      <c r="F3" s="1056"/>
      <c r="G3" s="1056"/>
      <c r="H3" s="1056"/>
      <c r="I3" s="1057"/>
    </row>
    <row r="4" spans="1:11" ht="12" thickBot="1">
      <c r="A4" s="109" t="s">
        <v>123</v>
      </c>
      <c r="B4" s="829">
        <v>0</v>
      </c>
    </row>
    <row r="5" spans="1:11" ht="12" thickBot="1">
      <c r="A5" s="818" t="s">
        <v>147</v>
      </c>
      <c r="B5" s="901">
        <v>0</v>
      </c>
    </row>
    <row r="6" spans="1:11" ht="12" thickBot="1">
      <c r="A6" s="818" t="s">
        <v>146</v>
      </c>
      <c r="B6" s="901">
        <v>0</v>
      </c>
    </row>
    <row r="7" spans="1:11" ht="12" thickBot="1">
      <c r="A7" s="1175"/>
      <c r="B7" s="1175"/>
      <c r="C7" s="1175"/>
      <c r="D7" s="1175"/>
    </row>
    <row r="8" spans="1:11" ht="12.75">
      <c r="A8" s="96" t="s">
        <v>5</v>
      </c>
      <c r="B8" s="97" t="s">
        <v>0</v>
      </c>
      <c r="C8" s="117" t="s">
        <v>4</v>
      </c>
      <c r="D8" s="837" t="s">
        <v>8</v>
      </c>
      <c r="E8" s="5"/>
      <c r="F8" s="5"/>
      <c r="G8" s="5"/>
      <c r="H8" s="5"/>
      <c r="I8" s="5"/>
      <c r="J8" s="5"/>
      <c r="K8" s="5"/>
    </row>
    <row r="9" spans="1:11">
      <c r="A9" s="838" t="s">
        <v>835</v>
      </c>
      <c r="B9" s="112">
        <f>(B2-0.05)*B4</f>
        <v>0</v>
      </c>
      <c r="C9" s="847">
        <v>9</v>
      </c>
      <c r="D9" s="836">
        <f t="shared" ref="D9:D20" si="0">C9*B9</f>
        <v>0</v>
      </c>
    </row>
    <row r="10" spans="1:11">
      <c r="A10" s="838" t="s">
        <v>525</v>
      </c>
      <c r="B10" s="112">
        <f>(B2-0.063)*B4</f>
        <v>0</v>
      </c>
      <c r="C10" s="847"/>
      <c r="D10" s="836">
        <f t="shared" si="0"/>
        <v>0</v>
      </c>
    </row>
    <row r="11" spans="1:11">
      <c r="A11" s="838" t="s">
        <v>836</v>
      </c>
      <c r="B11" s="112">
        <f>2*B4</f>
        <v>0</v>
      </c>
      <c r="C11" s="847"/>
      <c r="D11" s="836">
        <f t="shared" si="0"/>
        <v>0</v>
      </c>
      <c r="E11" s="69"/>
      <c r="F11" s="69"/>
    </row>
    <row r="12" spans="1:11">
      <c r="A12" s="839" t="s">
        <v>837</v>
      </c>
      <c r="B12" s="113">
        <f>(B2-0.055)*B4</f>
        <v>0</v>
      </c>
      <c r="C12" s="847"/>
      <c r="D12" s="836">
        <f t="shared" si="0"/>
        <v>0</v>
      </c>
    </row>
    <row r="13" spans="1:11">
      <c r="A13" s="838" t="s">
        <v>838</v>
      </c>
      <c r="B13" s="112">
        <f>2*B4</f>
        <v>0</v>
      </c>
      <c r="C13" s="847"/>
      <c r="D13" s="836">
        <f t="shared" si="0"/>
        <v>0</v>
      </c>
    </row>
    <row r="14" spans="1:11">
      <c r="A14" s="839" t="s">
        <v>839</v>
      </c>
      <c r="B14" s="113">
        <f>B4</f>
        <v>0</v>
      </c>
      <c r="C14" s="847"/>
      <c r="D14" s="836">
        <f t="shared" si="0"/>
        <v>0</v>
      </c>
    </row>
    <row r="15" spans="1:11">
      <c r="A15" s="838" t="s">
        <v>840</v>
      </c>
      <c r="B15" s="112">
        <f>B4</f>
        <v>0</v>
      </c>
      <c r="C15" s="847"/>
      <c r="D15" s="836">
        <f t="shared" si="0"/>
        <v>0</v>
      </c>
    </row>
    <row r="16" spans="1:11">
      <c r="A16" s="839" t="s">
        <v>841</v>
      </c>
      <c r="B16" s="113">
        <f>B4*2</f>
        <v>0</v>
      </c>
      <c r="C16" s="848"/>
      <c r="D16" s="836">
        <f t="shared" si="0"/>
        <v>0</v>
      </c>
    </row>
    <row r="17" spans="1:4">
      <c r="A17" s="839" t="s">
        <v>842</v>
      </c>
      <c r="B17" s="113">
        <f>B4</f>
        <v>0</v>
      </c>
      <c r="C17" s="848"/>
      <c r="D17" s="836">
        <f t="shared" si="0"/>
        <v>0</v>
      </c>
    </row>
    <row r="18" spans="1:4">
      <c r="A18" s="839" t="s">
        <v>843</v>
      </c>
      <c r="B18" s="113">
        <f>B4</f>
        <v>0</v>
      </c>
      <c r="C18" s="848"/>
      <c r="D18" s="836">
        <f t="shared" si="0"/>
        <v>0</v>
      </c>
    </row>
    <row r="19" spans="1:4">
      <c r="A19" s="839" t="s">
        <v>145</v>
      </c>
      <c r="B19" s="113">
        <f>B6</f>
        <v>0</v>
      </c>
      <c r="C19" s="848"/>
      <c r="D19" s="836">
        <f t="shared" si="0"/>
        <v>0</v>
      </c>
    </row>
    <row r="20" spans="1:4">
      <c r="A20" s="839" t="s">
        <v>148</v>
      </c>
      <c r="B20" s="113">
        <f>B5</f>
        <v>0</v>
      </c>
      <c r="C20" s="848"/>
      <c r="D20" s="836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0" t="s">
        <v>132</v>
      </c>
      <c r="B1" s="1051"/>
      <c r="C1" s="1051"/>
      <c r="D1" s="1051"/>
      <c r="E1" s="279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2" t="s">
        <v>122</v>
      </c>
      <c r="I2" s="1053"/>
      <c r="J2" s="1053"/>
      <c r="K2" s="1053"/>
      <c r="L2" s="1053"/>
      <c r="M2" s="1054"/>
    </row>
    <row r="3" spans="1:13" ht="12" thickBot="1">
      <c r="A3" s="9" t="s">
        <v>10</v>
      </c>
      <c r="B3" s="864">
        <v>1.4</v>
      </c>
      <c r="C3" s="13"/>
      <c r="D3" s="13"/>
      <c r="E3" s="13"/>
      <c r="F3" s="14"/>
      <c r="H3" s="1055"/>
      <c r="I3" s="1056"/>
      <c r="J3" s="1056"/>
      <c r="K3" s="1056"/>
      <c r="L3" s="1056"/>
      <c r="M3" s="1057"/>
    </row>
    <row r="4" spans="1:13">
      <c r="A4" s="9" t="s">
        <v>1</v>
      </c>
      <c r="B4" s="864">
        <v>1</v>
      </c>
      <c r="C4" s="13"/>
      <c r="D4" s="13"/>
      <c r="E4" s="13"/>
      <c r="F4" s="14"/>
    </row>
    <row r="5" spans="1:13">
      <c r="A5" s="9" t="s">
        <v>2</v>
      </c>
      <c r="B5" s="864">
        <v>1</v>
      </c>
      <c r="C5" s="13"/>
      <c r="D5" s="13"/>
      <c r="E5" s="13"/>
      <c r="F5" s="14"/>
    </row>
    <row r="6" spans="1:13">
      <c r="A6" s="9" t="s">
        <v>130</v>
      </c>
      <c r="B6" s="864">
        <v>10</v>
      </c>
      <c r="C6" s="13"/>
      <c r="D6" s="13"/>
      <c r="E6" s="13"/>
      <c r="F6" s="14"/>
    </row>
    <row r="7" spans="1:13">
      <c r="A7" s="9" t="s">
        <v>568</v>
      </c>
      <c r="B7" s="864">
        <v>2</v>
      </c>
      <c r="C7" s="13"/>
      <c r="D7" s="13"/>
      <c r="E7" s="13"/>
      <c r="F7" s="14"/>
    </row>
    <row r="8" spans="1:13">
      <c r="A8" s="9" t="s">
        <v>571</v>
      </c>
      <c r="B8" s="864">
        <v>2</v>
      </c>
      <c r="C8" s="13"/>
      <c r="D8" s="13"/>
      <c r="E8" s="13"/>
      <c r="F8" s="14"/>
    </row>
    <row r="9" spans="1:13" ht="12" thickBot="1">
      <c r="A9" s="10" t="s">
        <v>99</v>
      </c>
      <c r="B9" s="865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0"/>
      <c r="D13" s="121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0"/>
      <c r="D14" s="121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0"/>
      <c r="D15" s="121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0"/>
      <c r="D16" s="121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42"/>
      <c r="D17" s="121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0"/>
      <c r="D18" s="121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0"/>
      <c r="D19" s="121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0"/>
      <c r="D20" s="121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45"/>
      <c r="D21" s="121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45"/>
      <c r="D22" s="121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0"/>
      <c r="D23" s="121">
        <f>B3*B5</f>
        <v>1.4</v>
      </c>
      <c r="E23" s="26">
        <f t="shared" si="0"/>
        <v>0</v>
      </c>
      <c r="F23" s="14"/>
    </row>
    <row r="24" spans="1:6">
      <c r="A24" s="23" t="s">
        <v>566</v>
      </c>
      <c r="B24" s="24"/>
      <c r="C24" s="740"/>
      <c r="D24" s="121">
        <f>B5</f>
        <v>1</v>
      </c>
      <c r="E24" s="26">
        <f>C24*D24</f>
        <v>0</v>
      </c>
      <c r="F24" s="14"/>
    </row>
    <row r="25" spans="1:6">
      <c r="A25" s="23" t="s">
        <v>570</v>
      </c>
      <c r="B25" s="24"/>
      <c r="C25" s="745"/>
      <c r="D25" s="121">
        <f>B8</f>
        <v>2</v>
      </c>
      <c r="E25" s="26">
        <f>D25*C25</f>
        <v>0</v>
      </c>
      <c r="F25" s="14"/>
    </row>
    <row r="26" spans="1:6">
      <c r="A26" s="23" t="s">
        <v>569</v>
      </c>
      <c r="B26" s="24"/>
      <c r="C26" s="745"/>
      <c r="D26" s="121">
        <f>B6</f>
        <v>10</v>
      </c>
      <c r="E26" s="26">
        <f>D26*C26</f>
        <v>0</v>
      </c>
      <c r="F26" s="14"/>
    </row>
    <row r="27" spans="1:6">
      <c r="A27" s="24" t="s">
        <v>567</v>
      </c>
      <c r="B27" s="280"/>
      <c r="C27" s="835"/>
      <c r="D27" s="280">
        <f>B7</f>
        <v>2</v>
      </c>
      <c r="E27" s="26">
        <f>D27*C27</f>
        <v>0</v>
      </c>
      <c r="F27" s="14"/>
    </row>
    <row r="28" spans="1:6">
      <c r="A28" s="16"/>
      <c r="B28" s="13"/>
      <c r="C28" s="861"/>
      <c r="D28" s="13"/>
      <c r="E28" s="35">
        <f>SUM(E13:E26)</f>
        <v>0</v>
      </c>
      <c r="F28" s="14"/>
    </row>
    <row r="29" spans="1:6">
      <c r="A29" s="16"/>
      <c r="B29" s="13"/>
      <c r="C29" s="861"/>
      <c r="D29" s="13"/>
      <c r="E29" s="13"/>
      <c r="F29" s="14"/>
    </row>
    <row r="30" spans="1:6" ht="12" thickBot="1">
      <c r="A30" s="18" t="s">
        <v>22</v>
      </c>
      <c r="B30" s="19"/>
      <c r="C30" s="862"/>
      <c r="D30" s="19"/>
      <c r="E30" s="13"/>
      <c r="F30" s="14"/>
    </row>
    <row r="31" spans="1:6">
      <c r="A31" s="36" t="s">
        <v>35</v>
      </c>
      <c r="B31" s="21"/>
      <c r="C31" s="863"/>
      <c r="D31" s="21"/>
      <c r="E31" s="12"/>
      <c r="F31" s="14"/>
    </row>
    <row r="32" spans="1:6">
      <c r="A32" s="23" t="s">
        <v>23</v>
      </c>
      <c r="B32" s="24"/>
      <c r="C32" s="740"/>
      <c r="D32" s="121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0"/>
      <c r="D33" s="121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52"/>
      <c r="D34" s="33">
        <f>(B3+0.2)*B9</f>
        <v>80</v>
      </c>
      <c r="E34" s="34">
        <f>D34*C34</f>
        <v>0</v>
      </c>
      <c r="F34" s="14"/>
    </row>
    <row r="35" spans="1:6">
      <c r="A35" s="1058" t="s">
        <v>26</v>
      </c>
      <c r="B35" s="1059"/>
      <c r="C35" s="1059"/>
      <c r="D35" s="1060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1030" t="s">
        <v>177</v>
      </c>
      <c r="B1" s="1031"/>
      <c r="C1" s="1031"/>
      <c r="D1" s="1085"/>
    </row>
    <row r="2" spans="1:11" ht="15" thickBot="1">
      <c r="A2" s="1086" t="s">
        <v>3</v>
      </c>
      <c r="B2" s="1087"/>
      <c r="C2" s="1087"/>
      <c r="D2" s="1088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44" t="s">
        <v>178</v>
      </c>
      <c r="B3" s="878">
        <v>1</v>
      </c>
      <c r="C3" s="1207" t="s">
        <v>30</v>
      </c>
      <c r="D3" s="1207"/>
      <c r="F3" s="1055"/>
      <c r="G3" s="1056"/>
      <c r="H3" s="1056"/>
      <c r="I3" s="1056"/>
      <c r="J3" s="1056"/>
      <c r="K3" s="1057"/>
    </row>
    <row r="4" spans="1:11" ht="12" thickBot="1">
      <c r="A4" s="45" t="s">
        <v>179</v>
      </c>
      <c r="B4" s="884">
        <v>1</v>
      </c>
      <c r="C4" s="1208" t="s">
        <v>30</v>
      </c>
      <c r="D4" s="1208"/>
    </row>
    <row r="5" spans="1:11">
      <c r="A5" s="188" t="s">
        <v>180</v>
      </c>
      <c r="B5" s="910">
        <v>1</v>
      </c>
      <c r="C5" s="1192" t="s">
        <v>30</v>
      </c>
      <c r="D5" s="1192"/>
    </row>
    <row r="6" spans="1:11">
      <c r="A6" s="48" t="s">
        <v>181</v>
      </c>
      <c r="B6" s="896">
        <v>0</v>
      </c>
      <c r="C6" s="1203" t="s">
        <v>30</v>
      </c>
      <c r="D6" s="1203"/>
    </row>
    <row r="7" spans="1:11" ht="12" thickBot="1">
      <c r="A7" s="189" t="s">
        <v>182</v>
      </c>
      <c r="B7" s="889">
        <v>0</v>
      </c>
      <c r="C7" s="1194" t="s">
        <v>30</v>
      </c>
      <c r="D7" s="1194"/>
    </row>
    <row r="8" spans="1:11">
      <c r="A8" s="170" t="s">
        <v>157</v>
      </c>
      <c r="B8" s="897">
        <v>1</v>
      </c>
      <c r="C8" s="1192" t="s">
        <v>30</v>
      </c>
      <c r="D8" s="1192"/>
    </row>
    <row r="9" spans="1:11">
      <c r="A9" s="150" t="s">
        <v>144</v>
      </c>
      <c r="B9" s="888">
        <v>2</v>
      </c>
      <c r="C9" s="1193" t="s">
        <v>30</v>
      </c>
      <c r="D9" s="1193"/>
      <c r="E9" s="190"/>
      <c r="H9" s="69"/>
      <c r="I9" s="69"/>
      <c r="J9" s="69"/>
    </row>
    <row r="10" spans="1:11" ht="12" thickBot="1">
      <c r="A10" s="137" t="s">
        <v>147</v>
      </c>
      <c r="B10" s="889">
        <v>3</v>
      </c>
      <c r="C10" s="1194" t="s">
        <v>30</v>
      </c>
      <c r="D10" s="1194"/>
      <c r="E10" s="191"/>
      <c r="H10" s="69"/>
      <c r="I10" s="69"/>
      <c r="J10" s="69"/>
    </row>
    <row r="11" spans="1:11" ht="12" thickBot="1">
      <c r="A11" s="1204" t="s">
        <v>183</v>
      </c>
      <c r="B11" s="1204"/>
      <c r="C11" s="1204"/>
      <c r="D11" s="1204"/>
    </row>
    <row r="12" spans="1:11">
      <c r="A12" s="178" t="s">
        <v>184</v>
      </c>
      <c r="B12" s="911">
        <v>1</v>
      </c>
      <c r="C12" s="1205" t="s">
        <v>33</v>
      </c>
      <c r="D12" s="1206"/>
    </row>
    <row r="13" spans="1:11">
      <c r="A13" s="179" t="s">
        <v>185</v>
      </c>
      <c r="B13" s="912">
        <v>0</v>
      </c>
      <c r="C13" s="1118" t="s">
        <v>33</v>
      </c>
      <c r="D13" s="1119"/>
    </row>
    <row r="14" spans="1:11">
      <c r="A14" s="179" t="s">
        <v>186</v>
      </c>
      <c r="B14" s="913">
        <v>0</v>
      </c>
      <c r="C14" s="1120" t="s">
        <v>33</v>
      </c>
      <c r="D14" s="1122"/>
    </row>
    <row r="15" spans="1:11" ht="12" thickBot="1">
      <c r="A15" s="1195"/>
      <c r="B15" s="1196"/>
      <c r="C15" s="1196"/>
      <c r="D15" s="1197"/>
    </row>
    <row r="16" spans="1:11">
      <c r="A16" s="180" t="s">
        <v>187</v>
      </c>
      <c r="B16" s="914">
        <f>CEILING((B3-0.1)/0.4,1)+1</f>
        <v>4</v>
      </c>
      <c r="C16" s="1198" t="s">
        <v>29</v>
      </c>
      <c r="D16" s="1199"/>
    </row>
    <row r="17" spans="1:4" ht="12" thickBot="1">
      <c r="A17" s="181" t="s">
        <v>188</v>
      </c>
      <c r="B17" s="915">
        <f>SUM(B5:B7)</f>
        <v>1</v>
      </c>
      <c r="C17" s="1200" t="s">
        <v>29</v>
      </c>
      <c r="D17" s="1201"/>
    </row>
    <row r="18" spans="1:4" ht="12" thickBot="1">
      <c r="A18" s="1202"/>
      <c r="B18" s="1202"/>
      <c r="C18" s="1202"/>
      <c r="D18" s="1202"/>
    </row>
    <row r="19" spans="1:4" ht="12.75">
      <c r="A19" s="55" t="s">
        <v>7</v>
      </c>
      <c r="B19" s="98" t="s">
        <v>0</v>
      </c>
      <c r="C19" s="56" t="s">
        <v>4</v>
      </c>
      <c r="D19" s="57" t="s">
        <v>8</v>
      </c>
    </row>
    <row r="20" spans="1:4">
      <c r="A20" s="50" t="s">
        <v>189</v>
      </c>
      <c r="B20" s="161">
        <f>B3*B17</f>
        <v>1</v>
      </c>
      <c r="C20" s="835">
        <v>9</v>
      </c>
      <c r="D20" s="162">
        <f t="shared" ref="D20:D43" si="0">B20*C20</f>
        <v>9</v>
      </c>
    </row>
    <row r="21" spans="1:4">
      <c r="A21" s="182" t="s">
        <v>190</v>
      </c>
      <c r="B21" s="79">
        <f>B3*B17</f>
        <v>1</v>
      </c>
      <c r="C21" s="835"/>
      <c r="D21" s="162">
        <f t="shared" si="0"/>
        <v>0</v>
      </c>
    </row>
    <row r="22" spans="1:4">
      <c r="A22" s="182" t="s">
        <v>191</v>
      </c>
      <c r="B22" s="80">
        <f>(B3-0.026)*B6</f>
        <v>0</v>
      </c>
      <c r="C22" s="832"/>
      <c r="D22" s="164">
        <f t="shared" si="0"/>
        <v>0</v>
      </c>
    </row>
    <row r="23" spans="1:4">
      <c r="A23" s="182" t="s">
        <v>192</v>
      </c>
      <c r="B23" s="79">
        <f>(B3-0.07)*B17</f>
        <v>0.92999999999999994</v>
      </c>
      <c r="C23" s="835"/>
      <c r="D23" s="162">
        <f t="shared" si="0"/>
        <v>0</v>
      </c>
    </row>
    <row r="24" spans="1:4">
      <c r="A24" s="182" t="s">
        <v>193</v>
      </c>
      <c r="B24" s="80">
        <f>(B3-0.002)*B17*2</f>
        <v>1.996</v>
      </c>
      <c r="C24" s="832"/>
      <c r="D24" s="164">
        <f t="shared" si="0"/>
        <v>0</v>
      </c>
    </row>
    <row r="25" spans="1:4" ht="11.25" customHeight="1">
      <c r="A25" s="182" t="s">
        <v>194</v>
      </c>
      <c r="B25" s="80">
        <f>B3*B17</f>
        <v>1</v>
      </c>
      <c r="C25" s="832"/>
      <c r="D25" s="164">
        <f t="shared" si="0"/>
        <v>0</v>
      </c>
    </row>
    <row r="26" spans="1:4">
      <c r="A26" s="182" t="s">
        <v>195</v>
      </c>
      <c r="B26" s="80">
        <f>(B16-1)*B17</f>
        <v>3</v>
      </c>
      <c r="C26" s="832"/>
      <c r="D26" s="164">
        <f t="shared" si="0"/>
        <v>0</v>
      </c>
    </row>
    <row r="27" spans="1:4">
      <c r="A27" s="160" t="s">
        <v>167</v>
      </c>
      <c r="B27" s="80">
        <f>B17-B8</f>
        <v>0</v>
      </c>
      <c r="C27" s="832"/>
      <c r="D27" s="164">
        <f t="shared" si="0"/>
        <v>0</v>
      </c>
    </row>
    <row r="28" spans="1:4">
      <c r="A28" s="160" t="s">
        <v>168</v>
      </c>
      <c r="B28" s="80">
        <f>B8</f>
        <v>1</v>
      </c>
      <c r="C28" s="832"/>
      <c r="D28" s="164">
        <f t="shared" si="0"/>
        <v>0</v>
      </c>
    </row>
    <row r="29" spans="1:4">
      <c r="A29" s="182" t="s">
        <v>196</v>
      </c>
      <c r="B29" s="80">
        <f>(IF(B4&gt;2,B16,0))*B17</f>
        <v>0</v>
      </c>
      <c r="C29" s="832"/>
      <c r="D29" s="164">
        <f t="shared" si="0"/>
        <v>0</v>
      </c>
    </row>
    <row r="30" spans="1:4">
      <c r="A30" s="182" t="s">
        <v>197</v>
      </c>
      <c r="B30" s="80">
        <f>(IF(B4&lt;=2,B16,0))*B17</f>
        <v>4</v>
      </c>
      <c r="C30" s="832"/>
      <c r="D30" s="164">
        <f t="shared" si="0"/>
        <v>0</v>
      </c>
    </row>
    <row r="31" spans="1:4" ht="12.75" customHeight="1">
      <c r="A31" s="160" t="s">
        <v>169</v>
      </c>
      <c r="B31" s="80">
        <f>B17-B8</f>
        <v>0</v>
      </c>
      <c r="C31" s="832"/>
      <c r="D31" s="164">
        <f t="shared" si="0"/>
        <v>0</v>
      </c>
    </row>
    <row r="32" spans="1:4">
      <c r="A32" s="182" t="s">
        <v>198</v>
      </c>
      <c r="B32" s="80">
        <f>B17*2+(B17-B8)*2</f>
        <v>2</v>
      </c>
      <c r="C32" s="832"/>
      <c r="D32" s="164">
        <f t="shared" si="0"/>
        <v>0</v>
      </c>
    </row>
    <row r="33" spans="1:4">
      <c r="A33" s="182" t="s">
        <v>199</v>
      </c>
      <c r="B33" s="80">
        <f>2*B5</f>
        <v>2</v>
      </c>
      <c r="C33" s="832"/>
      <c r="D33" s="164">
        <f t="shared" si="0"/>
        <v>0</v>
      </c>
    </row>
    <row r="34" spans="1:4">
      <c r="A34" s="182" t="s">
        <v>200</v>
      </c>
      <c r="B34" s="80">
        <f>(B6+B7)*2</f>
        <v>0</v>
      </c>
      <c r="C34" s="832"/>
      <c r="D34" s="164">
        <f t="shared" si="0"/>
        <v>0</v>
      </c>
    </row>
    <row r="35" spans="1:4">
      <c r="A35" s="182" t="s">
        <v>201</v>
      </c>
      <c r="B35" s="80">
        <f>B5*2</f>
        <v>2</v>
      </c>
      <c r="C35" s="832"/>
      <c r="D35" s="164">
        <f t="shared" si="0"/>
        <v>0</v>
      </c>
    </row>
    <row r="36" spans="1:4">
      <c r="A36" s="182" t="s">
        <v>202</v>
      </c>
      <c r="B36" s="80">
        <f>2*(B6+B7)</f>
        <v>0</v>
      </c>
      <c r="C36" s="832"/>
      <c r="D36" s="164">
        <f t="shared" si="0"/>
        <v>0</v>
      </c>
    </row>
    <row r="37" spans="1:4">
      <c r="A37" s="182" t="s">
        <v>203</v>
      </c>
      <c r="B37" s="80">
        <f>2*B6</f>
        <v>0</v>
      </c>
      <c r="C37" s="832"/>
      <c r="D37" s="164">
        <f t="shared" si="0"/>
        <v>0</v>
      </c>
    </row>
    <row r="38" spans="1:4">
      <c r="A38" s="182" t="s">
        <v>204</v>
      </c>
      <c r="B38" s="80">
        <f>2*B7</f>
        <v>0</v>
      </c>
      <c r="C38" s="832"/>
      <c r="D38" s="164">
        <f t="shared" si="0"/>
        <v>0</v>
      </c>
    </row>
    <row r="39" spans="1:4">
      <c r="A39" s="182" t="s">
        <v>205</v>
      </c>
      <c r="B39" s="80">
        <f>B16*B17</f>
        <v>4</v>
      </c>
      <c r="C39" s="832"/>
      <c r="D39" s="164">
        <f t="shared" si="0"/>
        <v>0</v>
      </c>
    </row>
    <row r="40" spans="1:4">
      <c r="A40" s="182" t="s">
        <v>206</v>
      </c>
      <c r="B40" s="80">
        <f>B17*B16</f>
        <v>4</v>
      </c>
      <c r="C40" s="832"/>
      <c r="D40" s="164">
        <f t="shared" si="0"/>
        <v>0</v>
      </c>
    </row>
    <row r="41" spans="1:4">
      <c r="A41" s="182" t="s">
        <v>207</v>
      </c>
      <c r="B41" s="80">
        <f>B17</f>
        <v>1</v>
      </c>
      <c r="C41" s="832"/>
      <c r="D41" s="164">
        <f t="shared" si="0"/>
        <v>0</v>
      </c>
    </row>
    <row r="42" spans="1:4">
      <c r="A42" s="81" t="s">
        <v>208</v>
      </c>
      <c r="B42" s="80">
        <f>(B4+0.2)*B16*B17+(B3*2+B4*2)*(B6+B7)</f>
        <v>4.8</v>
      </c>
      <c r="C42" s="832"/>
      <c r="D42" s="164">
        <f t="shared" si="0"/>
        <v>0</v>
      </c>
    </row>
    <row r="43" spans="1:4">
      <c r="A43" s="182" t="s">
        <v>209</v>
      </c>
      <c r="B43" s="80">
        <f>1*B17</f>
        <v>1</v>
      </c>
      <c r="C43" s="832"/>
      <c r="D43" s="164">
        <f t="shared" si="0"/>
        <v>0</v>
      </c>
    </row>
    <row r="44" spans="1:4">
      <c r="A44" s="131" t="s">
        <v>163</v>
      </c>
      <c r="B44" s="72">
        <f>B9</f>
        <v>2</v>
      </c>
      <c r="C44" s="832"/>
      <c r="D44" s="164">
        <f>B44*C44</f>
        <v>0</v>
      </c>
    </row>
    <row r="45" spans="1:4">
      <c r="A45" s="131" t="s">
        <v>172</v>
      </c>
      <c r="B45" s="73">
        <f>B17</f>
        <v>1</v>
      </c>
      <c r="C45" s="892"/>
      <c r="D45" s="164">
        <f>B45*C45</f>
        <v>0</v>
      </c>
    </row>
    <row r="46" spans="1:4" ht="12" thickBot="1">
      <c r="A46" s="30" t="s">
        <v>173</v>
      </c>
      <c r="B46" s="165">
        <f>B10</f>
        <v>3</v>
      </c>
      <c r="C46" s="893"/>
      <c r="D46" s="164">
        <f>B46*C46</f>
        <v>0</v>
      </c>
    </row>
    <row r="47" spans="1:4" ht="12" thickBot="1">
      <c r="A47" s="1186"/>
      <c r="B47" s="1187"/>
      <c r="C47" s="1187"/>
      <c r="D47" s="1188"/>
    </row>
    <row r="48" spans="1:4" ht="12.75">
      <c r="A48" s="1183" t="s">
        <v>183</v>
      </c>
      <c r="B48" s="1184"/>
      <c r="C48" s="1184"/>
      <c r="D48" s="1185"/>
    </row>
    <row r="49" spans="1:4">
      <c r="A49" s="182" t="s">
        <v>210</v>
      </c>
      <c r="B49" s="80">
        <f>2*B7</f>
        <v>0</v>
      </c>
      <c r="C49" s="832"/>
      <c r="D49" s="164">
        <f t="shared" ref="D49:D60" si="1">B49*C49</f>
        <v>0</v>
      </c>
    </row>
    <row r="50" spans="1:4">
      <c r="A50" s="182" t="s">
        <v>211</v>
      </c>
      <c r="B50" s="80">
        <f>IF(B13=1,INT((B3-0.1)/0.6+2)*B17+2*B7+INT((B3-0.1)/0.6+2)*B6,0)</f>
        <v>0</v>
      </c>
      <c r="C50" s="832"/>
      <c r="D50" s="164">
        <f t="shared" si="1"/>
        <v>0</v>
      </c>
    </row>
    <row r="51" spans="1:4">
      <c r="A51" s="182" t="s">
        <v>212</v>
      </c>
      <c r="B51" s="80">
        <f>IF(B13=1,INT((B3-0.1)/0.6+2)*(B6+B7),0)</f>
        <v>0</v>
      </c>
      <c r="C51" s="832"/>
      <c r="D51" s="164">
        <f t="shared" si="1"/>
        <v>0</v>
      </c>
    </row>
    <row r="52" spans="1:4">
      <c r="A52" s="182" t="s">
        <v>213</v>
      </c>
      <c r="B52" s="80">
        <f>IF(B14=1,2*B7,0)</f>
        <v>0</v>
      </c>
      <c r="C52" s="832"/>
      <c r="D52" s="164">
        <f t="shared" si="1"/>
        <v>0</v>
      </c>
    </row>
    <row r="53" spans="1:4">
      <c r="A53" s="182" t="s">
        <v>214</v>
      </c>
      <c r="B53" s="80">
        <f>(IF(B14=1,INT((B3-0.1)/0.6+2),0))*B17</f>
        <v>0</v>
      </c>
      <c r="C53" s="832"/>
      <c r="D53" s="164">
        <f t="shared" si="1"/>
        <v>0</v>
      </c>
    </row>
    <row r="54" spans="1:4">
      <c r="A54" s="182" t="s">
        <v>215</v>
      </c>
      <c r="B54" s="80">
        <f>(IF(B14=1,INT((B3-0.1)/0.6+2),0))*B6</f>
        <v>0</v>
      </c>
      <c r="C54" s="832"/>
      <c r="D54" s="164">
        <f t="shared" si="1"/>
        <v>0</v>
      </c>
    </row>
    <row r="55" spans="1:4">
      <c r="A55" s="182" t="s">
        <v>216</v>
      </c>
      <c r="B55" s="80">
        <f>(IF(B14=1,0,INT((B3-0.1)/0.6+2)))*B17</f>
        <v>3</v>
      </c>
      <c r="C55" s="832"/>
      <c r="D55" s="164">
        <f t="shared" si="1"/>
        <v>0</v>
      </c>
    </row>
    <row r="56" spans="1:4">
      <c r="A56" s="182" t="s">
        <v>217</v>
      </c>
      <c r="B56" s="80">
        <f>((IF(B14=1,0,INT((B3-0.1)/0.6+2))))*B6</f>
        <v>0</v>
      </c>
      <c r="C56" s="832"/>
      <c r="D56" s="164">
        <f t="shared" si="1"/>
        <v>0</v>
      </c>
    </row>
    <row r="57" spans="1:4">
      <c r="A57" s="182" t="s">
        <v>218</v>
      </c>
      <c r="B57" s="163">
        <f>IF(B12&lt;&gt;1,B49,0)</f>
        <v>0</v>
      </c>
      <c r="C57" s="832"/>
      <c r="D57" s="164">
        <f t="shared" si="1"/>
        <v>0</v>
      </c>
    </row>
    <row r="58" spans="1:4">
      <c r="A58" s="182" t="s">
        <v>219</v>
      </c>
      <c r="B58" s="80">
        <f>B57</f>
        <v>0</v>
      </c>
      <c r="C58" s="832"/>
      <c r="D58" s="164">
        <f t="shared" si="1"/>
        <v>0</v>
      </c>
    </row>
    <row r="59" spans="1:4">
      <c r="A59" s="182" t="s">
        <v>220</v>
      </c>
      <c r="B59" s="163">
        <f>IF(B13=1,B55+B56,0)</f>
        <v>0</v>
      </c>
      <c r="C59" s="835"/>
      <c r="D59" s="164">
        <f t="shared" si="1"/>
        <v>0</v>
      </c>
    </row>
    <row r="60" spans="1:4">
      <c r="A60" s="182" t="s">
        <v>221</v>
      </c>
      <c r="B60" s="80">
        <f>B49</f>
        <v>0</v>
      </c>
      <c r="C60" s="832"/>
      <c r="D60" s="164">
        <f t="shared" si="1"/>
        <v>0</v>
      </c>
    </row>
    <row r="61" spans="1:4" ht="12" thickBot="1">
      <c r="A61" s="1186"/>
      <c r="B61" s="1187"/>
      <c r="C61" s="1187"/>
      <c r="D61" s="1188"/>
    </row>
    <row r="62" spans="1:4" ht="12.75">
      <c r="A62" s="1189" t="s">
        <v>222</v>
      </c>
      <c r="B62" s="1190"/>
      <c r="C62" s="1190"/>
      <c r="D62" s="1191"/>
    </row>
    <row r="63" spans="1:4">
      <c r="A63" s="182" t="s">
        <v>223</v>
      </c>
      <c r="B63" s="80">
        <v>1</v>
      </c>
      <c r="C63" s="832"/>
      <c r="D63" s="164">
        <f>B63*C63</f>
        <v>0</v>
      </c>
    </row>
    <row r="64" spans="1:4" ht="12" thickBot="1">
      <c r="A64" s="186" t="s">
        <v>224</v>
      </c>
      <c r="B64" s="187">
        <v>1</v>
      </c>
      <c r="C64" s="895"/>
      <c r="D64" s="68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F2:K3"/>
    <mergeCell ref="A1:D1"/>
    <mergeCell ref="A2:D2"/>
    <mergeCell ref="C3:D3"/>
    <mergeCell ref="C4:D4"/>
    <mergeCell ref="C5:D5"/>
    <mergeCell ref="C6:D6"/>
    <mergeCell ref="C7:D7"/>
    <mergeCell ref="A11:D11"/>
    <mergeCell ref="C12:D12"/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1030" t="s">
        <v>225</v>
      </c>
      <c r="B1" s="1031"/>
      <c r="C1" s="1031"/>
      <c r="D1" s="1085"/>
    </row>
    <row r="2" spans="1:11" ht="15" thickBot="1">
      <c r="A2" s="1086" t="s">
        <v>3</v>
      </c>
      <c r="B2" s="1087"/>
      <c r="C2" s="1087"/>
      <c r="D2" s="1088"/>
      <c r="F2" s="1052" t="s">
        <v>122</v>
      </c>
      <c r="G2" s="1053"/>
      <c r="H2" s="1053"/>
      <c r="I2" s="1053"/>
      <c r="J2" s="1053"/>
      <c r="K2" s="1054"/>
    </row>
    <row r="3" spans="1:11" ht="12" thickBot="1">
      <c r="A3" s="44" t="s">
        <v>178</v>
      </c>
      <c r="B3" s="878">
        <v>1</v>
      </c>
      <c r="C3" s="1207" t="s">
        <v>30</v>
      </c>
      <c r="D3" s="1207"/>
      <c r="F3" s="1055"/>
      <c r="G3" s="1056"/>
      <c r="H3" s="1056"/>
      <c r="I3" s="1056"/>
      <c r="J3" s="1056"/>
      <c r="K3" s="1057"/>
    </row>
    <row r="4" spans="1:11" ht="12" thickBot="1">
      <c r="A4" s="192" t="s">
        <v>179</v>
      </c>
      <c r="B4" s="916">
        <v>1</v>
      </c>
      <c r="C4" s="1209" t="s">
        <v>30</v>
      </c>
      <c r="D4" s="1209"/>
    </row>
    <row r="5" spans="1:11">
      <c r="A5" s="170" t="s">
        <v>157</v>
      </c>
      <c r="B5" s="897">
        <v>1</v>
      </c>
      <c r="C5" s="1211" t="s">
        <v>30</v>
      </c>
      <c r="D5" s="1211"/>
    </row>
    <row r="6" spans="1:11">
      <c r="A6" s="150" t="s">
        <v>144</v>
      </c>
      <c r="B6" s="888">
        <v>2</v>
      </c>
      <c r="C6" s="1193" t="s">
        <v>30</v>
      </c>
      <c r="D6" s="1193"/>
      <c r="E6" s="190"/>
      <c r="H6" s="69"/>
      <c r="I6" s="69"/>
      <c r="J6" s="69"/>
    </row>
    <row r="7" spans="1:11" ht="12" thickBot="1">
      <c r="A7" s="137" t="s">
        <v>147</v>
      </c>
      <c r="B7" s="889">
        <v>3</v>
      </c>
      <c r="C7" s="1194" t="s">
        <v>30</v>
      </c>
      <c r="D7" s="1194"/>
      <c r="E7" s="191"/>
      <c r="H7" s="69"/>
      <c r="I7" s="69"/>
      <c r="J7" s="69"/>
    </row>
    <row r="8" spans="1:11" ht="12" thickBot="1">
      <c r="A8" s="188" t="s">
        <v>53</v>
      </c>
      <c r="B8" s="917">
        <v>1</v>
      </c>
      <c r="C8" s="1210" t="s">
        <v>30</v>
      </c>
      <c r="D8" s="1210"/>
    </row>
    <row r="9" spans="1:11" ht="12" thickBot="1">
      <c r="A9" s="1195"/>
      <c r="B9" s="1196"/>
      <c r="C9" s="1196"/>
      <c r="D9" s="1197"/>
    </row>
    <row r="10" spans="1:11" ht="12" thickBot="1">
      <c r="A10" s="180" t="s">
        <v>187</v>
      </c>
      <c r="B10" s="914">
        <f>CEILING((B3-0.1)/0.4,1)+1</f>
        <v>4</v>
      </c>
      <c r="C10" s="1198" t="s">
        <v>29</v>
      </c>
      <c r="D10" s="1199"/>
    </row>
    <row r="11" spans="1:11" ht="12" thickBot="1">
      <c r="A11" s="1202"/>
      <c r="B11" s="1202"/>
      <c r="C11" s="1202"/>
      <c r="D11" s="1202"/>
    </row>
    <row r="12" spans="1:11" ht="12.75">
      <c r="A12" s="183" t="s">
        <v>7</v>
      </c>
      <c r="B12" s="184" t="s">
        <v>0</v>
      </c>
      <c r="C12" s="56" t="s">
        <v>4</v>
      </c>
      <c r="D12" s="185" t="s">
        <v>8</v>
      </c>
    </row>
    <row r="13" spans="1:11">
      <c r="A13" s="50" t="s">
        <v>189</v>
      </c>
      <c r="B13" s="174">
        <f>B3*B8</f>
        <v>1</v>
      </c>
      <c r="C13" s="835">
        <v>9</v>
      </c>
      <c r="D13" s="175">
        <f t="shared" ref="D13:D33" si="0">B13*C13</f>
        <v>9</v>
      </c>
    </row>
    <row r="14" spans="1:11">
      <c r="A14" s="182" t="s">
        <v>190</v>
      </c>
      <c r="B14" s="79">
        <f>B3*B8</f>
        <v>1</v>
      </c>
      <c r="C14" s="835"/>
      <c r="D14" s="175">
        <f t="shared" si="0"/>
        <v>0</v>
      </c>
    </row>
    <row r="15" spans="1:11">
      <c r="A15" s="182" t="s">
        <v>192</v>
      </c>
      <c r="B15" s="79">
        <f>B3*B8</f>
        <v>1</v>
      </c>
      <c r="C15" s="835"/>
      <c r="D15" s="175">
        <f t="shared" si="0"/>
        <v>0</v>
      </c>
    </row>
    <row r="16" spans="1:11">
      <c r="A16" s="182" t="s">
        <v>226</v>
      </c>
      <c r="B16" s="79">
        <f>B3*B8</f>
        <v>1</v>
      </c>
      <c r="C16" s="835"/>
      <c r="D16" s="175">
        <f t="shared" si="0"/>
        <v>0</v>
      </c>
    </row>
    <row r="17" spans="1:4">
      <c r="A17" s="182" t="s">
        <v>193</v>
      </c>
      <c r="B17" s="80">
        <f>B3*B8*2</f>
        <v>2</v>
      </c>
      <c r="C17" s="832"/>
      <c r="D17" s="175">
        <f t="shared" si="0"/>
        <v>0</v>
      </c>
    </row>
    <row r="18" spans="1:4">
      <c r="A18" s="182" t="s">
        <v>194</v>
      </c>
      <c r="B18" s="80">
        <f>B3*B8</f>
        <v>1</v>
      </c>
      <c r="C18" s="832"/>
      <c r="D18" s="175">
        <f t="shared" si="0"/>
        <v>0</v>
      </c>
    </row>
    <row r="19" spans="1:4">
      <c r="A19" s="182" t="s">
        <v>195</v>
      </c>
      <c r="B19" s="80">
        <f>(B10-1)*B8</f>
        <v>3</v>
      </c>
      <c r="C19" s="832"/>
      <c r="D19" s="175">
        <f t="shared" si="0"/>
        <v>0</v>
      </c>
    </row>
    <row r="20" spans="1:4">
      <c r="A20" s="160" t="s">
        <v>167</v>
      </c>
      <c r="B20" s="80">
        <f>B8-B5</f>
        <v>0</v>
      </c>
      <c r="C20" s="832"/>
      <c r="D20" s="175">
        <f t="shared" si="0"/>
        <v>0</v>
      </c>
    </row>
    <row r="21" spans="1:4">
      <c r="A21" s="160" t="s">
        <v>168</v>
      </c>
      <c r="B21" s="80">
        <f>B5</f>
        <v>1</v>
      </c>
      <c r="C21" s="832"/>
      <c r="D21" s="175">
        <f t="shared" si="0"/>
        <v>0</v>
      </c>
    </row>
    <row r="22" spans="1:4">
      <c r="A22" s="182" t="s">
        <v>196</v>
      </c>
      <c r="B22" s="80">
        <f>(IF(B4&gt;2,B10,0))*B8</f>
        <v>0</v>
      </c>
      <c r="C22" s="832"/>
      <c r="D22" s="175">
        <f t="shared" si="0"/>
        <v>0</v>
      </c>
    </row>
    <row r="23" spans="1:4">
      <c r="A23" s="182" t="s">
        <v>197</v>
      </c>
      <c r="B23" s="80">
        <f>(IF(B4&lt;=2,B10,0))*B8</f>
        <v>4</v>
      </c>
      <c r="C23" s="832"/>
      <c r="D23" s="175">
        <f t="shared" si="0"/>
        <v>0</v>
      </c>
    </row>
    <row r="24" spans="1:4">
      <c r="A24" s="182" t="s">
        <v>198</v>
      </c>
      <c r="B24" s="80">
        <f>B8*2+(B8-B5)*2</f>
        <v>2</v>
      </c>
      <c r="C24" s="832"/>
      <c r="D24" s="175">
        <f t="shared" si="0"/>
        <v>0</v>
      </c>
    </row>
    <row r="25" spans="1:4">
      <c r="A25" s="182" t="s">
        <v>199</v>
      </c>
      <c r="B25" s="80">
        <f>2*B8</f>
        <v>2</v>
      </c>
      <c r="C25" s="832"/>
      <c r="D25" s="175">
        <f t="shared" si="0"/>
        <v>0</v>
      </c>
    </row>
    <row r="26" spans="1:4">
      <c r="A26" s="182" t="s">
        <v>201</v>
      </c>
      <c r="B26" s="80">
        <f>B8*2</f>
        <v>2</v>
      </c>
      <c r="C26" s="832"/>
      <c r="D26" s="175">
        <f t="shared" si="0"/>
        <v>0</v>
      </c>
    </row>
    <row r="27" spans="1:4">
      <c r="A27" s="182" t="s">
        <v>227</v>
      </c>
      <c r="B27" s="80">
        <f>2*B8</f>
        <v>2</v>
      </c>
      <c r="C27" s="832"/>
      <c r="D27" s="175">
        <f t="shared" si="0"/>
        <v>0</v>
      </c>
    </row>
    <row r="28" spans="1:4">
      <c r="A28" s="182" t="s">
        <v>205</v>
      </c>
      <c r="B28" s="80">
        <f>(4*3+B10*3)*B8</f>
        <v>24</v>
      </c>
      <c r="C28" s="832"/>
      <c r="D28" s="175">
        <f t="shared" si="0"/>
        <v>0</v>
      </c>
    </row>
    <row r="29" spans="1:4">
      <c r="A29" s="182" t="s">
        <v>228</v>
      </c>
      <c r="B29" s="80">
        <f>2*B8</f>
        <v>2</v>
      </c>
      <c r="C29" s="832"/>
      <c r="D29" s="175">
        <f t="shared" si="0"/>
        <v>0</v>
      </c>
    </row>
    <row r="30" spans="1:4">
      <c r="A30" s="182" t="s">
        <v>206</v>
      </c>
      <c r="B30" s="80">
        <f>B10*B8</f>
        <v>4</v>
      </c>
      <c r="C30" s="832"/>
      <c r="D30" s="175">
        <f t="shared" si="0"/>
        <v>0</v>
      </c>
    </row>
    <row r="31" spans="1:4">
      <c r="A31" s="182" t="s">
        <v>207</v>
      </c>
      <c r="B31" s="80">
        <f>B8*2</f>
        <v>2</v>
      </c>
      <c r="C31" s="832"/>
      <c r="D31" s="175">
        <f t="shared" si="0"/>
        <v>0</v>
      </c>
    </row>
    <row r="32" spans="1:4">
      <c r="A32" s="81" t="s">
        <v>208</v>
      </c>
      <c r="B32" s="80">
        <f>((B4*2+0.4)*2+(B4+0.4)*2)*B8</f>
        <v>7.6</v>
      </c>
      <c r="C32" s="832"/>
      <c r="D32" s="175">
        <f t="shared" si="0"/>
        <v>0</v>
      </c>
    </row>
    <row r="33" spans="1:4">
      <c r="A33" s="182" t="s">
        <v>209</v>
      </c>
      <c r="B33" s="80">
        <f>B8</f>
        <v>1</v>
      </c>
      <c r="C33" s="832"/>
      <c r="D33" s="175">
        <f t="shared" si="0"/>
        <v>0</v>
      </c>
    </row>
    <row r="34" spans="1:4">
      <c r="A34" s="131" t="s">
        <v>163</v>
      </c>
      <c r="B34" s="72">
        <f>B6</f>
        <v>2</v>
      </c>
      <c r="C34" s="832"/>
      <c r="D34" s="176">
        <f>B34*C34</f>
        <v>0</v>
      </c>
    </row>
    <row r="35" spans="1:4">
      <c r="A35" s="131" t="s">
        <v>172</v>
      </c>
      <c r="B35" s="73">
        <f>B8</f>
        <v>1</v>
      </c>
      <c r="C35" s="892"/>
      <c r="D35" s="176">
        <f>B35*C35</f>
        <v>0</v>
      </c>
    </row>
    <row r="36" spans="1:4" ht="12" thickBot="1">
      <c r="A36" s="30" t="s">
        <v>173</v>
      </c>
      <c r="B36" s="177">
        <f>B7</f>
        <v>3</v>
      </c>
      <c r="C36" s="893"/>
      <c r="D36" s="68">
        <f>B36*C36</f>
        <v>0</v>
      </c>
    </row>
    <row r="37" spans="1:4" ht="12" thickBot="1">
      <c r="A37" s="1186"/>
      <c r="B37" s="1187"/>
      <c r="C37" s="1187"/>
      <c r="D37" s="1188"/>
    </row>
    <row r="38" spans="1:4" ht="12.75">
      <c r="A38" s="1183" t="s">
        <v>183</v>
      </c>
      <c r="B38" s="1184"/>
      <c r="C38" s="1184"/>
      <c r="D38" s="1185"/>
    </row>
    <row r="39" spans="1:4">
      <c r="A39" s="182" t="s">
        <v>216</v>
      </c>
      <c r="B39" s="80">
        <f>B10*B8</f>
        <v>4</v>
      </c>
      <c r="C39" s="832"/>
      <c r="D39" s="176">
        <f>B39*C39</f>
        <v>0</v>
      </c>
    </row>
    <row r="40" spans="1:4" ht="12" thickBot="1">
      <c r="A40" s="186" t="s">
        <v>217</v>
      </c>
      <c r="B40" s="187">
        <f>B39</f>
        <v>4</v>
      </c>
      <c r="C40" s="895"/>
      <c r="D40" s="68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F2:K3"/>
    <mergeCell ref="A9:D9"/>
    <mergeCell ref="C10:D10"/>
    <mergeCell ref="A11:D11"/>
    <mergeCell ref="A37:D37"/>
    <mergeCell ref="A38:D38"/>
    <mergeCell ref="A1:D1"/>
    <mergeCell ref="A2:D2"/>
    <mergeCell ref="C3:D3"/>
    <mergeCell ref="C4:D4"/>
    <mergeCell ref="C8:D8"/>
    <mergeCell ref="C5:D5"/>
    <mergeCell ref="C6:D6"/>
    <mergeCell ref="C7:D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1030" t="s">
        <v>345</v>
      </c>
      <c r="B1" s="1031"/>
      <c r="C1" s="1031"/>
      <c r="D1" s="1085"/>
    </row>
    <row r="2" spans="1:10" ht="15" thickBot="1">
      <c r="A2" s="1086" t="s">
        <v>3</v>
      </c>
      <c r="B2" s="1087"/>
      <c r="C2" s="1087"/>
      <c r="D2" s="1088"/>
    </row>
    <row r="3" spans="1:10">
      <c r="A3" s="235" t="s">
        <v>178</v>
      </c>
      <c r="B3" s="827">
        <v>2</v>
      </c>
      <c r="C3" s="1090" t="s">
        <v>30</v>
      </c>
      <c r="D3" s="1033"/>
    </row>
    <row r="4" spans="1:10">
      <c r="A4" s="236" t="s">
        <v>179</v>
      </c>
      <c r="B4" s="918">
        <v>2</v>
      </c>
      <c r="C4" s="1121" t="s">
        <v>30</v>
      </c>
      <c r="D4" s="1122"/>
    </row>
    <row r="5" spans="1:10" ht="12" thickBot="1">
      <c r="A5" s="237" t="s">
        <v>315</v>
      </c>
      <c r="B5" s="919">
        <v>0.5</v>
      </c>
      <c r="C5" s="1212" t="s">
        <v>30</v>
      </c>
      <c r="D5" s="1213"/>
    </row>
    <row r="6" spans="1:10">
      <c r="A6" s="178" t="s">
        <v>346</v>
      </c>
      <c r="B6" s="911">
        <v>1</v>
      </c>
      <c r="C6" s="1214" t="s">
        <v>30</v>
      </c>
      <c r="D6" s="1215"/>
      <c r="H6" s="69"/>
    </row>
    <row r="7" spans="1:10" ht="12" thickBot="1">
      <c r="A7" s="238" t="s">
        <v>347</v>
      </c>
      <c r="B7" s="920">
        <v>1</v>
      </c>
      <c r="C7" s="1216" t="s">
        <v>30</v>
      </c>
      <c r="D7" s="1217"/>
      <c r="H7" s="69"/>
    </row>
    <row r="8" spans="1:10">
      <c r="A8" s="170" t="s">
        <v>144</v>
      </c>
      <c r="B8" s="897">
        <v>2</v>
      </c>
      <c r="C8" s="1211" t="s">
        <v>30</v>
      </c>
      <c r="D8" s="1211"/>
      <c r="E8" s="190"/>
      <c r="H8" s="69"/>
      <c r="I8" s="69"/>
      <c r="J8" s="69"/>
    </row>
    <row r="9" spans="1:10" ht="12" thickBot="1">
      <c r="A9" s="137" t="s">
        <v>147</v>
      </c>
      <c r="B9" s="889">
        <v>3</v>
      </c>
      <c r="C9" s="1194" t="s">
        <v>30</v>
      </c>
      <c r="D9" s="1194"/>
      <c r="E9" s="191"/>
      <c r="H9" s="69"/>
      <c r="I9" s="69"/>
      <c r="J9" s="69"/>
    </row>
    <row r="10" spans="1:10" ht="12" thickBot="1">
      <c r="A10" s="1204" t="s">
        <v>183</v>
      </c>
      <c r="B10" s="1204"/>
      <c r="C10" s="1204"/>
      <c r="D10" s="1204"/>
      <c r="H10" s="69"/>
    </row>
    <row r="11" spans="1:10">
      <c r="A11" s="178" t="s">
        <v>316</v>
      </c>
      <c r="B11" s="911">
        <v>0</v>
      </c>
      <c r="C11" s="1205" t="s">
        <v>33</v>
      </c>
      <c r="D11" s="1206"/>
      <c r="H11" s="69"/>
    </row>
    <row r="12" spans="1:10">
      <c r="A12" s="179" t="s">
        <v>317</v>
      </c>
      <c r="B12" s="912">
        <v>0</v>
      </c>
      <c r="C12" s="1118" t="s">
        <v>33</v>
      </c>
      <c r="D12" s="1119"/>
      <c r="F12" s="69"/>
      <c r="G12" s="69"/>
      <c r="H12" s="69"/>
    </row>
    <row r="13" spans="1:10">
      <c r="A13" s="179" t="s">
        <v>318</v>
      </c>
      <c r="B13" s="913">
        <v>0</v>
      </c>
      <c r="C13" s="1120" t="s">
        <v>33</v>
      </c>
      <c r="D13" s="1122"/>
      <c r="F13" s="69"/>
      <c r="G13" s="69"/>
      <c r="H13" s="69"/>
    </row>
    <row r="14" spans="1:10">
      <c r="A14" s="179" t="s">
        <v>319</v>
      </c>
      <c r="B14" s="912">
        <v>0</v>
      </c>
      <c r="C14" s="1118" t="s">
        <v>33</v>
      </c>
      <c r="D14" s="1119"/>
      <c r="F14" s="69"/>
      <c r="G14" s="69"/>
      <c r="H14" s="69"/>
    </row>
    <row r="15" spans="1:10" ht="12" thickBot="1">
      <c r="A15" s="238" t="s">
        <v>320</v>
      </c>
      <c r="B15" s="921">
        <v>1</v>
      </c>
      <c r="C15" s="1220" t="s">
        <v>33</v>
      </c>
      <c r="D15" s="1221"/>
      <c r="F15" s="69"/>
      <c r="G15" s="69"/>
      <c r="H15" s="69"/>
    </row>
    <row r="16" spans="1:10" ht="12" thickBot="1">
      <c r="A16" s="1195"/>
      <c r="B16" s="1196"/>
      <c r="C16" s="1196"/>
      <c r="D16" s="1197"/>
      <c r="F16" s="69"/>
      <c r="G16" s="69"/>
      <c r="H16" s="69"/>
    </row>
    <row r="17" spans="1:8" ht="12" thickBot="1">
      <c r="A17" s="239" t="s">
        <v>321</v>
      </c>
      <c r="B17" s="914">
        <v>1</v>
      </c>
      <c r="C17" s="1198" t="s">
        <v>322</v>
      </c>
      <c r="D17" s="1199"/>
      <c r="F17" s="69"/>
      <c r="G17" s="69"/>
      <c r="H17" s="69"/>
    </row>
    <row r="18" spans="1:8">
      <c r="A18" s="180" t="s">
        <v>187</v>
      </c>
      <c r="B18" s="914">
        <f>CEILING((B3-0.15)/0.4,1)+1</f>
        <v>6</v>
      </c>
      <c r="C18" s="1198" t="s">
        <v>29</v>
      </c>
      <c r="D18" s="1199"/>
      <c r="E18" s="71"/>
      <c r="F18" s="69"/>
      <c r="G18" s="69"/>
      <c r="H18" s="69"/>
    </row>
    <row r="19" spans="1:8" ht="12" thickBot="1">
      <c r="A19" s="181" t="s">
        <v>188</v>
      </c>
      <c r="B19" s="915">
        <f>SUM(B6:B7)</f>
        <v>2</v>
      </c>
      <c r="C19" s="1200" t="s">
        <v>29</v>
      </c>
      <c r="D19" s="1201"/>
      <c r="E19" s="71"/>
      <c r="F19" s="69"/>
      <c r="G19" s="69"/>
      <c r="H19" s="69"/>
    </row>
    <row r="20" spans="1:8" ht="12" thickBot="1">
      <c r="A20" s="1160"/>
      <c r="B20" s="1160"/>
      <c r="C20" s="1160"/>
      <c r="D20" s="1160"/>
      <c r="F20" s="69"/>
      <c r="G20" s="69"/>
      <c r="H20" s="69"/>
    </row>
    <row r="21" spans="1:8" ht="12.75">
      <c r="A21" s="232" t="s">
        <v>7</v>
      </c>
      <c r="B21" s="233" t="s">
        <v>0</v>
      </c>
      <c r="C21" s="56" t="s">
        <v>4</v>
      </c>
      <c r="D21" s="234" t="s">
        <v>8</v>
      </c>
      <c r="F21" s="69"/>
      <c r="G21" s="69"/>
      <c r="H21" s="69"/>
    </row>
    <row r="22" spans="1:8">
      <c r="A22" s="245" t="s">
        <v>323</v>
      </c>
      <c r="B22" s="79">
        <f>(B3-0.003)*B19</f>
        <v>3.9940000000000002</v>
      </c>
      <c r="C22" s="835">
        <v>9</v>
      </c>
      <c r="D22" s="228">
        <f t="shared" ref="D22:D53" si="0">B22*C22</f>
        <v>35.946000000000005</v>
      </c>
      <c r="F22" s="69"/>
      <c r="G22" s="69"/>
      <c r="H22" s="69"/>
    </row>
    <row r="23" spans="1:8">
      <c r="A23" s="245" t="s">
        <v>324</v>
      </c>
      <c r="B23" s="79">
        <f>(B3-0.003)*B19</f>
        <v>3.9940000000000002</v>
      </c>
      <c r="C23" s="835"/>
      <c r="D23" s="228">
        <f t="shared" si="0"/>
        <v>0</v>
      </c>
      <c r="F23" s="69"/>
      <c r="G23" s="69"/>
      <c r="H23" s="69"/>
    </row>
    <row r="24" spans="1:8">
      <c r="A24" s="245" t="s">
        <v>325</v>
      </c>
      <c r="B24" s="80">
        <f>(B3-0.003)*B19*2</f>
        <v>7.9880000000000004</v>
      </c>
      <c r="C24" s="832"/>
      <c r="D24" s="229">
        <f t="shared" si="0"/>
        <v>0</v>
      </c>
      <c r="F24" s="69"/>
      <c r="G24" s="69"/>
      <c r="H24" s="69"/>
    </row>
    <row r="25" spans="1:8">
      <c r="A25" s="245" t="s">
        <v>326</v>
      </c>
      <c r="B25" s="80">
        <f>(B3-0.002)*B19*2</f>
        <v>7.992</v>
      </c>
      <c r="C25" s="832"/>
      <c r="D25" s="229">
        <f t="shared" si="0"/>
        <v>0</v>
      </c>
    </row>
    <row r="26" spans="1:8">
      <c r="A26" s="245" t="s">
        <v>327</v>
      </c>
      <c r="B26" s="80">
        <f>(B3-0.695)*B19</f>
        <v>2.6100000000000003</v>
      </c>
      <c r="C26" s="832"/>
      <c r="D26" s="229">
        <f t="shared" si="0"/>
        <v>0</v>
      </c>
    </row>
    <row r="27" spans="1:8">
      <c r="A27" s="245" t="s">
        <v>328</v>
      </c>
      <c r="B27" s="80">
        <f>B28</f>
        <v>2</v>
      </c>
      <c r="C27" s="832"/>
      <c r="D27" s="229"/>
    </row>
    <row r="28" spans="1:8">
      <c r="A28" s="245" t="s">
        <v>329</v>
      </c>
      <c r="B28" s="80">
        <f>2*B7</f>
        <v>2</v>
      </c>
      <c r="C28" s="832"/>
      <c r="D28" s="229">
        <f t="shared" si="0"/>
        <v>0</v>
      </c>
    </row>
    <row r="29" spans="1:8">
      <c r="A29" s="245" t="s">
        <v>330</v>
      </c>
      <c r="B29" s="80">
        <f>B19*2</f>
        <v>4</v>
      </c>
      <c r="C29" s="832"/>
      <c r="D29" s="229">
        <f t="shared" si="0"/>
        <v>0</v>
      </c>
    </row>
    <row r="30" spans="1:8">
      <c r="A30" s="245" t="s">
        <v>331</v>
      </c>
      <c r="B30" s="80">
        <f>2*B19</f>
        <v>4</v>
      </c>
      <c r="C30" s="832"/>
      <c r="D30" s="229">
        <f t="shared" si="0"/>
        <v>0</v>
      </c>
    </row>
    <row r="31" spans="1:8">
      <c r="A31" s="245" t="s">
        <v>332</v>
      </c>
      <c r="B31" s="80">
        <f>B18*B19</f>
        <v>12</v>
      </c>
      <c r="C31" s="832"/>
      <c r="D31" s="229">
        <f t="shared" si="0"/>
        <v>0</v>
      </c>
    </row>
    <row r="32" spans="1:8">
      <c r="A32" s="245" t="s">
        <v>333</v>
      </c>
      <c r="B32" s="80">
        <f>B18*B19</f>
        <v>12</v>
      </c>
      <c r="C32" s="832"/>
      <c r="D32" s="229">
        <f t="shared" si="0"/>
        <v>0</v>
      </c>
    </row>
    <row r="33" spans="1:5">
      <c r="A33" s="245" t="s">
        <v>334</v>
      </c>
      <c r="B33" s="80">
        <f>IF($B$17=1,$B$18*$B$19,0)</f>
        <v>12</v>
      </c>
      <c r="C33" s="832"/>
      <c r="D33" s="229">
        <f t="shared" si="0"/>
        <v>0</v>
      </c>
    </row>
    <row r="34" spans="1:5">
      <c r="A34" s="245" t="s">
        <v>335</v>
      </c>
      <c r="B34" s="80">
        <f>B33</f>
        <v>12</v>
      </c>
      <c r="C34" s="832"/>
      <c r="D34" s="229">
        <f t="shared" si="0"/>
        <v>0</v>
      </c>
    </row>
    <row r="35" spans="1:5">
      <c r="A35" s="245" t="s">
        <v>205</v>
      </c>
      <c r="B35" s="80">
        <f>(IF(B4&gt;2,B18+4,B18+3))*B19+4*B7</f>
        <v>22</v>
      </c>
      <c r="C35" s="832"/>
      <c r="D35" s="229">
        <f t="shared" si="0"/>
        <v>0</v>
      </c>
      <c r="E35" t="s">
        <v>351</v>
      </c>
    </row>
    <row r="36" spans="1:5">
      <c r="A36" s="245" t="s">
        <v>336</v>
      </c>
      <c r="B36" s="80">
        <f>1*B7</f>
        <v>1</v>
      </c>
      <c r="C36" s="832"/>
      <c r="D36" s="229">
        <f t="shared" si="0"/>
        <v>0</v>
      </c>
    </row>
    <row r="37" spans="1:5">
      <c r="A37" s="245" t="s">
        <v>196</v>
      </c>
      <c r="B37" s="80">
        <f>(IF(B4&gt;2,B18,0))*B19</f>
        <v>0</v>
      </c>
      <c r="C37" s="832"/>
      <c r="D37" s="229">
        <f t="shared" si="0"/>
        <v>0</v>
      </c>
      <c r="E37" s="244"/>
    </row>
    <row r="38" spans="1:5">
      <c r="A38" s="245" t="s">
        <v>197</v>
      </c>
      <c r="B38" s="80">
        <f>(IF(B4&lt;=2,B18,0))*B19</f>
        <v>12</v>
      </c>
      <c r="C38" s="832"/>
      <c r="D38" s="229">
        <f t="shared" si="0"/>
        <v>0</v>
      </c>
      <c r="E38" s="244"/>
    </row>
    <row r="39" spans="1:5">
      <c r="A39" s="245" t="s">
        <v>349</v>
      </c>
      <c r="B39" s="80">
        <f>B19</f>
        <v>2</v>
      </c>
      <c r="C39" s="832"/>
      <c r="D39" s="229">
        <f t="shared" si="0"/>
        <v>0</v>
      </c>
    </row>
    <row r="40" spans="1:5">
      <c r="A40" s="245" t="s">
        <v>337</v>
      </c>
      <c r="B40" s="80">
        <f>B19</f>
        <v>2</v>
      </c>
      <c r="C40" s="832"/>
      <c r="D40" s="229">
        <f t="shared" si="0"/>
        <v>0</v>
      </c>
    </row>
    <row r="41" spans="1:5">
      <c r="A41" s="245" t="s">
        <v>350</v>
      </c>
      <c r="B41" s="80">
        <f>B19</f>
        <v>2</v>
      </c>
      <c r="C41" s="832"/>
      <c r="D41" s="229">
        <f t="shared" si="0"/>
        <v>0</v>
      </c>
    </row>
    <row r="42" spans="1:5">
      <c r="A42" s="245" t="s">
        <v>348</v>
      </c>
      <c r="B42" s="80">
        <f>B19</f>
        <v>2</v>
      </c>
      <c r="C42" s="832"/>
      <c r="D42" s="229">
        <f t="shared" si="0"/>
        <v>0</v>
      </c>
      <c r="E42" s="71"/>
    </row>
    <row r="43" spans="1:5">
      <c r="A43" s="245" t="s">
        <v>352</v>
      </c>
      <c r="B43" s="80">
        <f>(B4+0.2)*B19*B18+($B$3+2*$B$4+0.3)*$B$7</f>
        <v>32.700000000000003</v>
      </c>
      <c r="C43" s="832"/>
      <c r="D43" s="229">
        <f>B43*C43</f>
        <v>0</v>
      </c>
      <c r="E43" s="71"/>
    </row>
    <row r="44" spans="1:5">
      <c r="A44" s="245" t="s">
        <v>338</v>
      </c>
      <c r="B44" s="80">
        <f>IF(B17=1,(B4+0.1)*B18*B19,0)</f>
        <v>25.200000000000003</v>
      </c>
      <c r="C44" s="832"/>
      <c r="D44" s="229">
        <f t="shared" si="0"/>
        <v>0</v>
      </c>
      <c r="E44" s="71"/>
    </row>
    <row r="45" spans="1:5" ht="11.25" customHeight="1">
      <c r="A45" s="131" t="s">
        <v>163</v>
      </c>
      <c r="B45" s="80">
        <f>B8</f>
        <v>2</v>
      </c>
      <c r="C45" s="832"/>
      <c r="D45" s="229">
        <f>B45*C45</f>
        <v>0</v>
      </c>
    </row>
    <row r="46" spans="1:5" ht="11.25" customHeight="1" thickBot="1">
      <c r="A46" s="30" t="s">
        <v>173</v>
      </c>
      <c r="B46" s="80">
        <f>B9</f>
        <v>3</v>
      </c>
      <c r="C46" s="832"/>
      <c r="D46" s="229">
        <f>B46*C46</f>
        <v>0</v>
      </c>
    </row>
    <row r="47" spans="1:5" ht="12" thickBot="1">
      <c r="A47" s="1186"/>
      <c r="B47" s="1187"/>
      <c r="C47" s="1187"/>
      <c r="D47" s="1188"/>
    </row>
    <row r="48" spans="1:5" ht="12.75">
      <c r="A48" s="1183" t="s">
        <v>183</v>
      </c>
      <c r="B48" s="1184"/>
      <c r="C48" s="1184"/>
      <c r="D48" s="1185"/>
    </row>
    <row r="49" spans="1:8">
      <c r="A49" s="182" t="s">
        <v>339</v>
      </c>
      <c r="B49" s="80">
        <f>IF(B11=1,F64*B19,0)</f>
        <v>0</v>
      </c>
      <c r="C49" s="832"/>
      <c r="D49" s="229">
        <f t="shared" si="0"/>
        <v>0</v>
      </c>
      <c r="E49" s="71"/>
    </row>
    <row r="50" spans="1:8">
      <c r="A50" s="182" t="s">
        <v>340</v>
      </c>
      <c r="B50" s="80">
        <f>B7*2</f>
        <v>2</v>
      </c>
      <c r="C50" s="832"/>
      <c r="D50" s="229">
        <f t="shared" si="0"/>
        <v>0</v>
      </c>
      <c r="E50" s="71"/>
    </row>
    <row r="51" spans="1:8">
      <c r="A51" s="182" t="s">
        <v>317</v>
      </c>
      <c r="B51" s="80">
        <f>IF(B12=1,F64*B19+2*B7,0)</f>
        <v>0</v>
      </c>
      <c r="C51" s="832"/>
      <c r="D51" s="229">
        <f t="shared" si="0"/>
        <v>0</v>
      </c>
      <c r="E51" s="71"/>
    </row>
    <row r="52" spans="1:8">
      <c r="A52" s="182" t="s">
        <v>318</v>
      </c>
      <c r="B52" s="80">
        <f>IF(B13=1,F64*B19+2*B7,0)</f>
        <v>0</v>
      </c>
      <c r="C52" s="832"/>
      <c r="D52" s="229">
        <v>0</v>
      </c>
    </row>
    <row r="53" spans="1:8">
      <c r="A53" s="182" t="s">
        <v>319</v>
      </c>
      <c r="B53" s="80">
        <f>IF(B14=1,F64*B19+2*B7,0)</f>
        <v>0</v>
      </c>
      <c r="C53" s="832"/>
      <c r="D53" s="229">
        <f t="shared" si="0"/>
        <v>0</v>
      </c>
    </row>
    <row r="54" spans="1:8">
      <c r="A54" s="182" t="s">
        <v>320</v>
      </c>
      <c r="B54" s="80">
        <f>IF(B15=1,F64*B19+2*B7,0)</f>
        <v>12</v>
      </c>
      <c r="C54" s="832"/>
      <c r="D54" s="229">
        <f>B54*C54</f>
        <v>0</v>
      </c>
    </row>
    <row r="55" spans="1:8">
      <c r="A55" s="182"/>
      <c r="B55" s="80"/>
      <c r="C55" s="832"/>
      <c r="D55" s="229"/>
    </row>
    <row r="56" spans="1:8">
      <c r="A56" s="182"/>
      <c r="B56" s="80"/>
      <c r="C56" s="832" t="s">
        <v>9</v>
      </c>
      <c r="D56" s="229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75" t="s">
        <v>29</v>
      </c>
      <c r="G62" s="1175"/>
      <c r="H62" s="1175"/>
    </row>
    <row r="63" spans="1:8">
      <c r="F63" s="1218" t="s">
        <v>341</v>
      </c>
      <c r="G63" s="1219"/>
      <c r="H63" s="1149"/>
    </row>
    <row r="64" spans="1:8">
      <c r="F64" s="240">
        <f>G60</f>
        <v>5</v>
      </c>
      <c r="G64" s="227">
        <f>F64*B6</f>
        <v>5</v>
      </c>
      <c r="H64" s="228">
        <v>0</v>
      </c>
    </row>
    <row r="65" spans="6:8">
      <c r="F65" s="240">
        <f>G60*2</f>
        <v>10</v>
      </c>
      <c r="G65" s="227">
        <f>F65*B7</f>
        <v>10</v>
      </c>
      <c r="H65" s="228">
        <v>0</v>
      </c>
    </row>
    <row r="66" spans="6:8" ht="12" thickBot="1">
      <c r="F66" s="241">
        <f>G60</f>
        <v>5</v>
      </c>
      <c r="G66" s="230" t="e">
        <f>F66*#REF!</f>
        <v>#REF!</v>
      </c>
      <c r="H66" s="231" t="e">
        <f>2*#REF!</f>
        <v>#REF!</v>
      </c>
    </row>
    <row r="67" spans="6:8" ht="12" thickBot="1">
      <c r="F67" s="242">
        <f>SUM(F64:F66)</f>
        <v>20</v>
      </c>
      <c r="G67" s="243" t="e">
        <f>SUM(G64:G66)</f>
        <v>#REF!</v>
      </c>
      <c r="H67" s="243" t="e">
        <f>SUM(H64:H66)</f>
        <v>#REF!</v>
      </c>
    </row>
    <row r="68" spans="6:8">
      <c r="F68" s="111" t="s">
        <v>342</v>
      </c>
      <c r="G68" s="111" t="s">
        <v>343</v>
      </c>
      <c r="H68" s="111" t="s">
        <v>344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1030" t="s">
        <v>353</v>
      </c>
      <c r="B1" s="1031"/>
      <c r="C1" s="1031"/>
      <c r="D1" s="1085"/>
    </row>
    <row r="2" spans="1:10" ht="15" thickBot="1">
      <c r="A2" s="1086" t="s">
        <v>3</v>
      </c>
      <c r="B2" s="1087"/>
      <c r="C2" s="1087"/>
      <c r="D2" s="1088"/>
    </row>
    <row r="3" spans="1:10">
      <c r="A3" s="235" t="s">
        <v>178</v>
      </c>
      <c r="B3" s="827">
        <v>2</v>
      </c>
      <c r="C3" s="1090" t="s">
        <v>30</v>
      </c>
      <c r="D3" s="1033"/>
    </row>
    <row r="4" spans="1:10">
      <c r="A4" s="236" t="s">
        <v>179</v>
      </c>
      <c r="B4" s="918">
        <v>2</v>
      </c>
      <c r="C4" s="1121" t="s">
        <v>30</v>
      </c>
      <c r="D4" s="1122"/>
    </row>
    <row r="5" spans="1:10" ht="12" thickBot="1">
      <c r="A5" s="237" t="s">
        <v>315</v>
      </c>
      <c r="B5" s="919">
        <v>0.5</v>
      </c>
      <c r="C5" s="1212" t="s">
        <v>30</v>
      </c>
      <c r="D5" s="1213"/>
    </row>
    <row r="6" spans="1:10">
      <c r="A6" s="178" t="s">
        <v>354</v>
      </c>
      <c r="B6" s="911">
        <v>1</v>
      </c>
      <c r="C6" s="1214" t="s">
        <v>30</v>
      </c>
      <c r="D6" s="1215"/>
      <c r="H6" s="69"/>
    </row>
    <row r="7" spans="1:10" ht="12" thickBot="1">
      <c r="A7" s="238" t="s">
        <v>355</v>
      </c>
      <c r="B7" s="920">
        <v>1</v>
      </c>
      <c r="C7" s="1216" t="s">
        <v>30</v>
      </c>
      <c r="D7" s="1217"/>
      <c r="H7" s="69"/>
    </row>
    <row r="8" spans="1:10">
      <c r="A8" s="170" t="s">
        <v>144</v>
      </c>
      <c r="B8" s="897">
        <v>2</v>
      </c>
      <c r="C8" s="1211" t="s">
        <v>30</v>
      </c>
      <c r="D8" s="1211"/>
      <c r="E8" s="190"/>
      <c r="H8" s="69"/>
      <c r="I8" s="69"/>
      <c r="J8" s="69"/>
    </row>
    <row r="9" spans="1:10" ht="12" thickBot="1">
      <c r="A9" s="137" t="s">
        <v>147</v>
      </c>
      <c r="B9" s="889">
        <v>3</v>
      </c>
      <c r="C9" s="1194" t="s">
        <v>30</v>
      </c>
      <c r="D9" s="1194"/>
      <c r="E9" s="191"/>
      <c r="H9" s="69"/>
      <c r="I9" s="69"/>
      <c r="J9" s="69"/>
    </row>
    <row r="10" spans="1:10" ht="12" thickBot="1">
      <c r="A10" s="1204" t="s">
        <v>183</v>
      </c>
      <c r="B10" s="1204"/>
      <c r="C10" s="1204"/>
      <c r="D10" s="1204"/>
      <c r="H10" s="69"/>
    </row>
    <row r="11" spans="1:10">
      <c r="A11" s="178" t="s">
        <v>316</v>
      </c>
      <c r="B11" s="911">
        <v>0</v>
      </c>
      <c r="C11" s="1205" t="s">
        <v>33</v>
      </c>
      <c r="D11" s="1206"/>
      <c r="H11" s="69"/>
    </row>
    <row r="12" spans="1:10">
      <c r="A12" s="179" t="s">
        <v>317</v>
      </c>
      <c r="B12" s="912">
        <v>0</v>
      </c>
      <c r="C12" s="1118" t="s">
        <v>33</v>
      </c>
      <c r="D12" s="1119"/>
      <c r="F12" s="69"/>
      <c r="G12" s="69"/>
      <c r="H12" s="69"/>
    </row>
    <row r="13" spans="1:10">
      <c r="A13" s="179" t="s">
        <v>318</v>
      </c>
      <c r="B13" s="913">
        <v>0</v>
      </c>
      <c r="C13" s="1120" t="s">
        <v>33</v>
      </c>
      <c r="D13" s="1122"/>
      <c r="F13" s="69"/>
      <c r="G13" s="69"/>
      <c r="H13" s="69"/>
    </row>
    <row r="14" spans="1:10">
      <c r="A14" s="179" t="s">
        <v>319</v>
      </c>
      <c r="B14" s="912">
        <v>0</v>
      </c>
      <c r="C14" s="1118" t="s">
        <v>33</v>
      </c>
      <c r="D14" s="1119"/>
      <c r="F14" s="69"/>
      <c r="G14" s="69"/>
      <c r="H14" s="69"/>
    </row>
    <row r="15" spans="1:10" ht="12" thickBot="1">
      <c r="A15" s="238" t="s">
        <v>320</v>
      </c>
      <c r="B15" s="921">
        <v>1</v>
      </c>
      <c r="C15" s="1220" t="s">
        <v>33</v>
      </c>
      <c r="D15" s="1221"/>
      <c r="F15" s="69"/>
      <c r="G15" s="69"/>
      <c r="H15" s="69"/>
    </row>
    <row r="16" spans="1:10" ht="12" thickBot="1">
      <c r="A16" s="1195"/>
      <c r="B16" s="1196"/>
      <c r="C16" s="1196"/>
      <c r="D16" s="1197"/>
      <c r="F16" s="69"/>
      <c r="G16" s="69"/>
      <c r="H16" s="69"/>
    </row>
    <row r="17" spans="1:8" ht="12" thickBot="1">
      <c r="A17" s="239" t="s">
        <v>321</v>
      </c>
      <c r="B17" s="914">
        <v>1</v>
      </c>
      <c r="C17" s="1198" t="s">
        <v>322</v>
      </c>
      <c r="D17" s="1199"/>
      <c r="F17" s="69"/>
      <c r="G17" s="69"/>
      <c r="H17" s="69"/>
    </row>
    <row r="18" spans="1:8">
      <c r="A18" s="180" t="s">
        <v>187</v>
      </c>
      <c r="B18" s="914">
        <f>CEILING((B3-0.15)/0.4,1)+1</f>
        <v>6</v>
      </c>
      <c r="C18" s="1198" t="s">
        <v>29</v>
      </c>
      <c r="D18" s="1199"/>
      <c r="E18" s="71"/>
      <c r="F18" s="69"/>
      <c r="G18" s="69"/>
      <c r="H18" s="69"/>
    </row>
    <row r="19" spans="1:8" ht="12" thickBot="1">
      <c r="A19" s="181" t="s">
        <v>188</v>
      </c>
      <c r="B19" s="915">
        <f>SUM(B6:B7)</f>
        <v>2</v>
      </c>
      <c r="C19" s="1200" t="s">
        <v>29</v>
      </c>
      <c r="D19" s="1201"/>
      <c r="E19" s="71"/>
      <c r="F19" s="69"/>
      <c r="G19" s="69"/>
      <c r="H19" s="69"/>
    </row>
    <row r="20" spans="1:8" ht="12" thickBot="1">
      <c r="A20" s="1160"/>
      <c r="B20" s="1160"/>
      <c r="C20" s="1160"/>
      <c r="D20" s="1160"/>
      <c r="F20" s="69"/>
      <c r="G20" s="69"/>
      <c r="H20" s="69"/>
    </row>
    <row r="21" spans="1:8" ht="12.75">
      <c r="A21" s="232" t="s">
        <v>7</v>
      </c>
      <c r="B21" s="233" t="s">
        <v>0</v>
      </c>
      <c r="C21" s="56" t="s">
        <v>4</v>
      </c>
      <c r="D21" s="234" t="s">
        <v>8</v>
      </c>
      <c r="F21" s="69"/>
      <c r="G21" s="69"/>
      <c r="H21" s="69"/>
    </row>
    <row r="22" spans="1:8">
      <c r="A22" s="245" t="s">
        <v>323</v>
      </c>
      <c r="B22" s="79">
        <f>(B3-0.003)*B19</f>
        <v>3.9940000000000002</v>
      </c>
      <c r="C22" s="835">
        <v>9</v>
      </c>
      <c r="D22" s="228">
        <f t="shared" ref="D22:D53" si="0">B22*C22</f>
        <v>35.946000000000005</v>
      </c>
      <c r="F22" s="69"/>
      <c r="G22" s="69"/>
      <c r="H22" s="69"/>
    </row>
    <row r="23" spans="1:8">
      <c r="A23" s="245" t="s">
        <v>324</v>
      </c>
      <c r="B23" s="79">
        <f>(B3-0.003)*B19*2</f>
        <v>7.9880000000000004</v>
      </c>
      <c r="C23" s="835"/>
      <c r="D23" s="228">
        <f t="shared" si="0"/>
        <v>0</v>
      </c>
      <c r="F23" s="69"/>
      <c r="G23" s="69"/>
      <c r="H23" s="69"/>
    </row>
    <row r="24" spans="1:8">
      <c r="A24" s="245" t="s">
        <v>325</v>
      </c>
      <c r="B24" s="80">
        <f>(B3-0.003)*B19*3</f>
        <v>11.982000000000001</v>
      </c>
      <c r="C24" s="832"/>
      <c r="D24" s="229">
        <f t="shared" si="0"/>
        <v>0</v>
      </c>
      <c r="F24" s="69"/>
      <c r="G24" s="69"/>
      <c r="H24" s="69"/>
    </row>
    <row r="25" spans="1:8">
      <c r="A25" s="245" t="s">
        <v>326</v>
      </c>
      <c r="B25" s="80">
        <f>(B3-0.002)*B19*2</f>
        <v>7.992</v>
      </c>
      <c r="C25" s="832"/>
      <c r="D25" s="229">
        <f t="shared" si="0"/>
        <v>0</v>
      </c>
    </row>
    <row r="26" spans="1:8">
      <c r="A26" s="245" t="s">
        <v>327</v>
      </c>
      <c r="B26" s="80">
        <f>(B3-0.695)*B19</f>
        <v>2.6100000000000003</v>
      </c>
      <c r="C26" s="832"/>
      <c r="D26" s="229">
        <f t="shared" si="0"/>
        <v>0</v>
      </c>
    </row>
    <row r="27" spans="1:8">
      <c r="A27" s="245" t="s">
        <v>328</v>
      </c>
      <c r="B27" s="80">
        <f>B28</f>
        <v>2</v>
      </c>
      <c r="C27" s="832"/>
      <c r="D27" s="229"/>
    </row>
    <row r="28" spans="1:8">
      <c r="A28" s="245" t="s">
        <v>329</v>
      </c>
      <c r="B28" s="80">
        <f>2*B7</f>
        <v>2</v>
      </c>
      <c r="C28" s="832"/>
      <c r="D28" s="229">
        <f t="shared" si="0"/>
        <v>0</v>
      </c>
    </row>
    <row r="29" spans="1:8">
      <c r="A29" s="245" t="s">
        <v>330</v>
      </c>
      <c r="B29" s="80">
        <f>B19*2</f>
        <v>4</v>
      </c>
      <c r="C29" s="832"/>
      <c r="D29" s="229">
        <f t="shared" si="0"/>
        <v>0</v>
      </c>
    </row>
    <row r="30" spans="1:8">
      <c r="A30" s="245" t="s">
        <v>331</v>
      </c>
      <c r="B30" s="80">
        <f>4*B19</f>
        <v>8</v>
      </c>
      <c r="C30" s="832"/>
      <c r="D30" s="229">
        <f t="shared" si="0"/>
        <v>0</v>
      </c>
    </row>
    <row r="31" spans="1:8">
      <c r="A31" s="245" t="s">
        <v>332</v>
      </c>
      <c r="B31" s="80">
        <f>B18*B19*2</f>
        <v>24</v>
      </c>
      <c r="C31" s="832"/>
      <c r="D31" s="229">
        <f t="shared" si="0"/>
        <v>0</v>
      </c>
    </row>
    <row r="32" spans="1:8">
      <c r="A32" s="245" t="s">
        <v>333</v>
      </c>
      <c r="B32" s="80">
        <f>B18*B19</f>
        <v>12</v>
      </c>
      <c r="C32" s="832"/>
      <c r="D32" s="229">
        <f t="shared" si="0"/>
        <v>0</v>
      </c>
    </row>
    <row r="33" spans="1:5">
      <c r="A33" s="245" t="s">
        <v>334</v>
      </c>
      <c r="B33" s="80">
        <f>IF($B$17=1,$B$18*$B$19,0)</f>
        <v>12</v>
      </c>
      <c r="C33" s="832"/>
      <c r="D33" s="229">
        <f t="shared" si="0"/>
        <v>0</v>
      </c>
    </row>
    <row r="34" spans="1:5">
      <c r="A34" s="245" t="s">
        <v>335</v>
      </c>
      <c r="B34" s="80">
        <f>B33</f>
        <v>12</v>
      </c>
      <c r="C34" s="832"/>
      <c r="D34" s="229">
        <f t="shared" si="0"/>
        <v>0</v>
      </c>
    </row>
    <row r="35" spans="1:5">
      <c r="A35" s="245" t="s">
        <v>205</v>
      </c>
      <c r="B35" s="80">
        <f>B18*4*B19+8*B7</f>
        <v>56</v>
      </c>
      <c r="C35" s="832"/>
      <c r="D35" s="229">
        <f t="shared" si="0"/>
        <v>0</v>
      </c>
      <c r="E35" t="s">
        <v>357</v>
      </c>
    </row>
    <row r="36" spans="1:5">
      <c r="A36" s="245" t="s">
        <v>336</v>
      </c>
      <c r="B36" s="80">
        <f>1*B7</f>
        <v>1</v>
      </c>
      <c r="C36" s="832"/>
      <c r="D36" s="229">
        <f t="shared" si="0"/>
        <v>0</v>
      </c>
    </row>
    <row r="37" spans="1:5">
      <c r="A37" s="245" t="s">
        <v>196</v>
      </c>
      <c r="B37" s="80">
        <f>(IF(B4&gt;2,B18,0))*B19</f>
        <v>0</v>
      </c>
      <c r="C37" s="832"/>
      <c r="D37" s="229">
        <f t="shared" si="0"/>
        <v>0</v>
      </c>
      <c r="E37" s="1222" t="s">
        <v>356</v>
      </c>
    </row>
    <row r="38" spans="1:5">
      <c r="A38" s="245" t="s">
        <v>197</v>
      </c>
      <c r="B38" s="80">
        <f>(IF(B4&lt;=2,B18,0))*B19</f>
        <v>12</v>
      </c>
      <c r="C38" s="832"/>
      <c r="D38" s="229">
        <f t="shared" si="0"/>
        <v>0</v>
      </c>
      <c r="E38" s="1222"/>
    </row>
    <row r="39" spans="1:5">
      <c r="A39" s="245" t="s">
        <v>349</v>
      </c>
      <c r="B39" s="80">
        <f>B19</f>
        <v>2</v>
      </c>
      <c r="C39" s="832"/>
      <c r="D39" s="229">
        <f t="shared" si="0"/>
        <v>0</v>
      </c>
    </row>
    <row r="40" spans="1:5">
      <c r="A40" s="245" t="s">
        <v>337</v>
      </c>
      <c r="B40" s="80">
        <f>B19</f>
        <v>2</v>
      </c>
      <c r="C40" s="832"/>
      <c r="D40" s="229">
        <f t="shared" si="0"/>
        <v>0</v>
      </c>
    </row>
    <row r="41" spans="1:5">
      <c r="A41" s="245" t="s">
        <v>350</v>
      </c>
      <c r="B41" s="80">
        <f>B19</f>
        <v>2</v>
      </c>
      <c r="C41" s="832"/>
      <c r="D41" s="229">
        <f t="shared" si="0"/>
        <v>0</v>
      </c>
    </row>
    <row r="42" spans="1:5">
      <c r="A42" s="245" t="s">
        <v>348</v>
      </c>
      <c r="B42" s="80">
        <f>B19</f>
        <v>2</v>
      </c>
      <c r="C42" s="832"/>
      <c r="D42" s="229">
        <f t="shared" si="0"/>
        <v>0</v>
      </c>
      <c r="E42" s="71"/>
    </row>
    <row r="43" spans="1:5">
      <c r="A43" s="245" t="s">
        <v>352</v>
      </c>
      <c r="B43" s="80">
        <f>((B4*2+0.2)*(B18-2)+(B4+0.2)*3)*B19+($B$3+2*$B$4+0.3)*$B$7</f>
        <v>53.1</v>
      </c>
      <c r="C43" s="832"/>
      <c r="D43" s="229">
        <f t="shared" si="0"/>
        <v>0</v>
      </c>
      <c r="E43" s="71"/>
    </row>
    <row r="44" spans="1:5">
      <c r="A44" s="245" t="s">
        <v>338</v>
      </c>
      <c r="B44" s="80">
        <f>IF(B17=1,(B4+0.1)*B18*B19,0)</f>
        <v>25.200000000000003</v>
      </c>
      <c r="C44" s="832"/>
      <c r="D44" s="229">
        <f t="shared" si="0"/>
        <v>0</v>
      </c>
      <c r="E44" s="71"/>
    </row>
    <row r="45" spans="1:5" ht="11.25" customHeight="1">
      <c r="A45" s="246" t="s">
        <v>163</v>
      </c>
      <c r="B45" s="80">
        <f>B8</f>
        <v>2</v>
      </c>
      <c r="C45" s="832"/>
      <c r="D45" s="229">
        <f t="shared" si="0"/>
        <v>0</v>
      </c>
    </row>
    <row r="46" spans="1:5" ht="11.25" customHeight="1" thickBot="1">
      <c r="A46" s="247" t="s">
        <v>173</v>
      </c>
      <c r="B46" s="80">
        <f>B9</f>
        <v>3</v>
      </c>
      <c r="C46" s="832"/>
      <c r="D46" s="229">
        <f t="shared" si="0"/>
        <v>0</v>
      </c>
    </row>
    <row r="47" spans="1:5" ht="12" thickBot="1">
      <c r="A47" s="1186"/>
      <c r="B47" s="1187"/>
      <c r="C47" s="1187"/>
      <c r="D47" s="1188"/>
    </row>
    <row r="48" spans="1:5" ht="12.75">
      <c r="A48" s="1183" t="s">
        <v>183</v>
      </c>
      <c r="B48" s="1184"/>
      <c r="C48" s="1184"/>
      <c r="D48" s="1185"/>
    </row>
    <row r="49" spans="1:8">
      <c r="A49" s="182" t="s">
        <v>339</v>
      </c>
      <c r="B49" s="80">
        <f>IF(B11=1,F64*B19,0)</f>
        <v>0</v>
      </c>
      <c r="C49" s="832"/>
      <c r="D49" s="229">
        <f t="shared" si="0"/>
        <v>0</v>
      </c>
      <c r="E49" s="71"/>
    </row>
    <row r="50" spans="1:8">
      <c r="A50" s="182" t="s">
        <v>340</v>
      </c>
      <c r="B50" s="80">
        <f>B7*2</f>
        <v>2</v>
      </c>
      <c r="C50" s="832"/>
      <c r="D50" s="229">
        <f t="shared" si="0"/>
        <v>0</v>
      </c>
      <c r="E50" s="71"/>
    </row>
    <row r="51" spans="1:8">
      <c r="A51" s="182" t="s">
        <v>317</v>
      </c>
      <c r="B51" s="80">
        <f>IF(B12=1,F64*B19+2*B7,0)</f>
        <v>0</v>
      </c>
      <c r="C51" s="832"/>
      <c r="D51" s="229">
        <f t="shared" si="0"/>
        <v>0</v>
      </c>
      <c r="E51" s="71"/>
    </row>
    <row r="52" spans="1:8">
      <c r="A52" s="182" t="s">
        <v>318</v>
      </c>
      <c r="B52" s="80">
        <f>IF(B13=1,F64*B19+2*B7,0)</f>
        <v>0</v>
      </c>
      <c r="C52" s="832"/>
      <c r="D52" s="229">
        <v>0</v>
      </c>
    </row>
    <row r="53" spans="1:8">
      <c r="A53" s="182" t="s">
        <v>319</v>
      </c>
      <c r="B53" s="80">
        <f>IF(B14=1,F64*B19+2*B7,0)</f>
        <v>0</v>
      </c>
      <c r="C53" s="832"/>
      <c r="D53" s="229">
        <f t="shared" si="0"/>
        <v>0</v>
      </c>
    </row>
    <row r="54" spans="1:8">
      <c r="A54" s="182" t="s">
        <v>320</v>
      </c>
      <c r="B54" s="80">
        <f>IF(B15=1,F64*B19+2*B7,0)</f>
        <v>12</v>
      </c>
      <c r="C54" s="832"/>
      <c r="D54" s="229">
        <f>B54*C54</f>
        <v>0</v>
      </c>
    </row>
    <row r="55" spans="1:8">
      <c r="A55" s="182"/>
      <c r="B55" s="80"/>
      <c r="C55" s="832"/>
      <c r="D55" s="229"/>
    </row>
    <row r="56" spans="1:8">
      <c r="A56" s="182"/>
      <c r="B56" s="80"/>
      <c r="C56" s="832" t="s">
        <v>9</v>
      </c>
      <c r="D56" s="229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75" t="s">
        <v>29</v>
      </c>
      <c r="G62" s="1175"/>
      <c r="H62" s="1175"/>
    </row>
    <row r="63" spans="1:8">
      <c r="F63" s="1218" t="s">
        <v>341</v>
      </c>
      <c r="G63" s="1219"/>
      <c r="H63" s="1149"/>
    </row>
    <row r="64" spans="1:8">
      <c r="F64" s="240">
        <f>G60</f>
        <v>5</v>
      </c>
      <c r="G64" s="227">
        <f>F64*B6</f>
        <v>5</v>
      </c>
      <c r="H64" s="228">
        <v>0</v>
      </c>
    </row>
    <row r="65" spans="6:8">
      <c r="F65" s="240">
        <f>G60*2</f>
        <v>10</v>
      </c>
      <c r="G65" s="227">
        <f>F65*B7</f>
        <v>10</v>
      </c>
      <c r="H65" s="228">
        <v>0</v>
      </c>
    </row>
    <row r="66" spans="6:8" ht="12" thickBot="1">
      <c r="F66" s="241">
        <f>G60</f>
        <v>5</v>
      </c>
      <c r="G66" s="230" t="e">
        <f>F66*#REF!</f>
        <v>#REF!</v>
      </c>
      <c r="H66" s="231" t="e">
        <f>2*#REF!</f>
        <v>#REF!</v>
      </c>
    </row>
    <row r="67" spans="6:8" ht="12" thickBot="1">
      <c r="F67" s="242">
        <f>SUM(F64:F66)</f>
        <v>20</v>
      </c>
      <c r="G67" s="243" t="e">
        <f>SUM(G64:G66)</f>
        <v>#REF!</v>
      </c>
      <c r="H67" s="243" t="e">
        <f>SUM(H64:H66)</f>
        <v>#REF!</v>
      </c>
    </row>
    <row r="68" spans="6:8">
      <c r="F68" s="111" t="s">
        <v>342</v>
      </c>
      <c r="G68" s="111" t="s">
        <v>343</v>
      </c>
      <c r="H68" s="111" t="s">
        <v>344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4"/>
  <sheetViews>
    <sheetView zoomScale="115" zoomScaleNormal="115" workbookViewId="0">
      <selection activeCell="H19" sqref="H19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76" t="s">
        <v>248</v>
      </c>
      <c r="B1" s="1162"/>
      <c r="C1" s="1162"/>
      <c r="D1" s="1162"/>
    </row>
    <row r="2" spans="1:4">
      <c r="A2" s="108" t="s">
        <v>10</v>
      </c>
      <c r="B2" s="827">
        <v>10</v>
      </c>
      <c r="C2" s="1090" t="s">
        <v>125</v>
      </c>
      <c r="D2" s="1033"/>
    </row>
    <row r="3" spans="1:4" ht="12" thickBot="1">
      <c r="A3" s="110" t="s">
        <v>1</v>
      </c>
      <c r="B3" s="828">
        <v>1</v>
      </c>
      <c r="C3" s="1177" t="s">
        <v>30</v>
      </c>
      <c r="D3" s="1178"/>
    </row>
    <row r="4" spans="1:4" ht="22.5">
      <c r="A4" s="198" t="s">
        <v>246</v>
      </c>
      <c r="B4" s="899">
        <v>0</v>
      </c>
      <c r="C4" s="1174" t="s">
        <v>30</v>
      </c>
      <c r="D4" s="1035"/>
    </row>
    <row r="5" spans="1:4">
      <c r="A5" s="198" t="s">
        <v>247</v>
      </c>
      <c r="B5" s="899">
        <v>1</v>
      </c>
      <c r="C5" s="1152" t="s">
        <v>30</v>
      </c>
      <c r="D5" s="1153"/>
    </row>
    <row r="6" spans="1:4">
      <c r="A6" s="198" t="s">
        <v>250</v>
      </c>
      <c r="B6" s="899">
        <v>1</v>
      </c>
      <c r="C6" s="1152" t="s">
        <v>30</v>
      </c>
      <c r="D6" s="1153"/>
    </row>
    <row r="7" spans="1:4">
      <c r="A7" s="198" t="s">
        <v>249</v>
      </c>
      <c r="B7" s="899">
        <v>0</v>
      </c>
      <c r="C7" s="1152" t="s">
        <v>30</v>
      </c>
      <c r="D7" s="1153"/>
    </row>
    <row r="8" spans="1:4">
      <c r="A8" s="198" t="s">
        <v>251</v>
      </c>
      <c r="B8" s="899">
        <v>0</v>
      </c>
      <c r="C8" s="1152" t="s">
        <v>30</v>
      </c>
      <c r="D8" s="1153"/>
    </row>
    <row r="9" spans="1:4">
      <c r="A9" s="109" t="s">
        <v>123</v>
      </c>
      <c r="B9" s="829">
        <v>1</v>
      </c>
      <c r="C9" s="1092" t="s">
        <v>29</v>
      </c>
      <c r="D9" s="1093"/>
    </row>
    <row r="10" spans="1:4" ht="33.75" customHeight="1">
      <c r="A10" s="203" t="s">
        <v>257</v>
      </c>
      <c r="B10" s="830">
        <v>1</v>
      </c>
      <c r="C10" s="1223" t="s">
        <v>258</v>
      </c>
      <c r="D10" s="1153"/>
    </row>
    <row r="11" spans="1:4">
      <c r="A11" s="202" t="s">
        <v>254</v>
      </c>
      <c r="B11" s="829">
        <v>1</v>
      </c>
      <c r="C11" s="196" t="s">
        <v>255</v>
      </c>
      <c r="D11" s="195" t="s">
        <v>256</v>
      </c>
    </row>
    <row r="12" spans="1:4" ht="12" thickBot="1">
      <c r="A12" s="146" t="s">
        <v>143</v>
      </c>
      <c r="B12" s="902">
        <v>1</v>
      </c>
      <c r="C12" s="1181" t="s">
        <v>30</v>
      </c>
      <c r="D12" s="1182"/>
    </row>
    <row r="13" spans="1:4" ht="12" thickBot="1">
      <c r="A13" s="1175"/>
      <c r="B13" s="1175"/>
      <c r="C13" s="1175"/>
      <c r="D13" s="1175"/>
    </row>
    <row r="14" spans="1:4" ht="12.75">
      <c r="A14" s="96" t="s">
        <v>5</v>
      </c>
      <c r="B14" s="97" t="s">
        <v>0</v>
      </c>
      <c r="C14" s="117" t="s">
        <v>4</v>
      </c>
      <c r="D14" s="193" t="s">
        <v>8</v>
      </c>
    </row>
    <row r="15" spans="1:4" ht="15">
      <c r="A15" s="199" t="s">
        <v>280</v>
      </c>
      <c r="B15" s="204">
        <f>(B2-0.165)*B9</f>
        <v>9.8350000000000009</v>
      </c>
      <c r="C15" s="847">
        <v>9</v>
      </c>
      <c r="D15" s="194">
        <f t="shared" ref="D15:D36" si="0">C15*B15</f>
        <v>88.515000000000015</v>
      </c>
    </row>
    <row r="16" spans="1:4" ht="15">
      <c r="A16" s="199" t="s">
        <v>690</v>
      </c>
      <c r="B16" s="201">
        <f>ROUNDUP(B2*8*B4,0)+EVEN(B2*8*B5)</f>
        <v>80</v>
      </c>
      <c r="C16" s="847"/>
      <c r="D16" s="194">
        <f t="shared" si="0"/>
        <v>0</v>
      </c>
    </row>
    <row r="17" spans="1:4" ht="15">
      <c r="A17" s="199" t="s">
        <v>252</v>
      </c>
      <c r="B17" s="201">
        <f>B9</f>
        <v>1</v>
      </c>
      <c r="C17" s="847"/>
      <c r="D17" s="194">
        <f t="shared" si="0"/>
        <v>0</v>
      </c>
    </row>
    <row r="18" spans="1:4" ht="15">
      <c r="A18" s="199" t="s">
        <v>253</v>
      </c>
      <c r="B18" s="201">
        <f>B9</f>
        <v>1</v>
      </c>
      <c r="C18" s="847"/>
      <c r="D18" s="194">
        <f t="shared" si="0"/>
        <v>0</v>
      </c>
    </row>
    <row r="19" spans="1:4" ht="15">
      <c r="A19" s="199" t="s">
        <v>234</v>
      </c>
      <c r="B19" s="201">
        <f>ROUNDUP(B2/0.5,0)*B9</f>
        <v>20</v>
      </c>
      <c r="C19" s="847"/>
      <c r="D19" s="194">
        <f t="shared" si="0"/>
        <v>0</v>
      </c>
    </row>
    <row r="20" spans="1:4" ht="15">
      <c r="A20" s="199" t="s">
        <v>237</v>
      </c>
      <c r="B20" s="201">
        <f>(IF(B10=2,ROUNDUP(B2/0.5,0),0))*B9</f>
        <v>0</v>
      </c>
      <c r="C20" s="835"/>
      <c r="D20" s="194">
        <f t="shared" si="0"/>
        <v>0</v>
      </c>
    </row>
    <row r="21" spans="1:4" ht="15">
      <c r="A21" s="199" t="s">
        <v>238</v>
      </c>
      <c r="B21" s="201">
        <f>(IF(B10=3,ROUNDUP(B2/0.5,0),0))*B9</f>
        <v>0</v>
      </c>
      <c r="C21" s="835"/>
      <c r="D21" s="194">
        <f t="shared" si="0"/>
        <v>0</v>
      </c>
    </row>
    <row r="22" spans="1:4" ht="15">
      <c r="A22" s="199" t="s">
        <v>691</v>
      </c>
      <c r="B22" s="201">
        <f>IF(B4=0,B5,B4)</f>
        <v>1</v>
      </c>
      <c r="C22" s="847"/>
      <c r="D22" s="194">
        <f t="shared" si="0"/>
        <v>0</v>
      </c>
    </row>
    <row r="23" spans="1:4" ht="15">
      <c r="A23" s="199" t="s">
        <v>692</v>
      </c>
      <c r="B23" s="201">
        <f>IF(B5=0,0,B5)</f>
        <v>1</v>
      </c>
      <c r="C23" s="847"/>
      <c r="D23" s="731">
        <f t="shared" ref="D23" si="1">C23*B23</f>
        <v>0</v>
      </c>
    </row>
    <row r="24" spans="1:4" ht="15">
      <c r="A24" s="199" t="s">
        <v>693</v>
      </c>
      <c r="B24" s="201">
        <f>IF(B5=0,0,B5)</f>
        <v>1</v>
      </c>
      <c r="C24" s="847"/>
      <c r="D24" s="731"/>
    </row>
    <row r="25" spans="1:4" ht="15">
      <c r="A25" s="199" t="s">
        <v>694</v>
      </c>
      <c r="B25" s="201">
        <f>IF(B5=0,0,B5)</f>
        <v>1</v>
      </c>
      <c r="C25" s="847"/>
      <c r="D25" s="731"/>
    </row>
    <row r="26" spans="1:4" ht="15">
      <c r="A26" s="199" t="s">
        <v>235</v>
      </c>
      <c r="B26" s="201">
        <f>B4*2+4*B5</f>
        <v>4</v>
      </c>
      <c r="C26" s="847"/>
      <c r="D26" s="194">
        <f t="shared" si="0"/>
        <v>0</v>
      </c>
    </row>
    <row r="27" spans="1:4" ht="15">
      <c r="A27" s="199" t="s">
        <v>239</v>
      </c>
      <c r="B27" s="201">
        <f>B2*2+0.11*B9</f>
        <v>20.11</v>
      </c>
      <c r="C27" s="835"/>
      <c r="D27" s="194">
        <f t="shared" si="0"/>
        <v>0</v>
      </c>
    </row>
    <row r="28" spans="1:4" ht="15">
      <c r="A28" s="199" t="s">
        <v>236</v>
      </c>
      <c r="B28" s="201">
        <f>B4*2+B5*4</f>
        <v>4</v>
      </c>
      <c r="C28" s="848"/>
      <c r="D28" s="194">
        <f t="shared" si="0"/>
        <v>0</v>
      </c>
    </row>
    <row r="29" spans="1:4" ht="15">
      <c r="A29" s="199" t="s">
        <v>281</v>
      </c>
      <c r="B29" s="201">
        <f>B4+B5*2</f>
        <v>2</v>
      </c>
      <c r="C29" s="848"/>
      <c r="D29" s="194">
        <f t="shared" si="0"/>
        <v>0</v>
      </c>
    </row>
    <row r="30" spans="1:4" ht="15">
      <c r="A30" s="199" t="s">
        <v>282</v>
      </c>
      <c r="B30" s="201">
        <f>B4</f>
        <v>0</v>
      </c>
      <c r="C30" s="848"/>
      <c r="D30" s="194">
        <f t="shared" si="0"/>
        <v>0</v>
      </c>
    </row>
    <row r="31" spans="1:4" ht="15">
      <c r="A31" s="199" t="s">
        <v>240</v>
      </c>
      <c r="B31" s="201">
        <f>(IF(B11=1,B9,0))</f>
        <v>1</v>
      </c>
      <c r="C31" s="835"/>
      <c r="D31" s="194">
        <f t="shared" si="0"/>
        <v>0</v>
      </c>
    </row>
    <row r="32" spans="1:4">
      <c r="A32" s="199" t="s">
        <v>245</v>
      </c>
      <c r="B32" s="205">
        <f>B12</f>
        <v>1</v>
      </c>
      <c r="C32" s="835"/>
      <c r="D32" s="194">
        <f t="shared" si="0"/>
        <v>0</v>
      </c>
    </row>
    <row r="33" spans="1:4" ht="15">
      <c r="A33" s="200" t="s">
        <v>241</v>
      </c>
      <c r="B33" s="201"/>
      <c r="C33" s="835"/>
      <c r="D33" s="194">
        <f t="shared" si="0"/>
        <v>0</v>
      </c>
    </row>
    <row r="34" spans="1:4" ht="15">
      <c r="A34" s="199" t="s">
        <v>242</v>
      </c>
      <c r="B34" s="201">
        <f>B7</f>
        <v>0</v>
      </c>
      <c r="C34" s="835"/>
      <c r="D34" s="194">
        <f t="shared" si="0"/>
        <v>0</v>
      </c>
    </row>
    <row r="35" spans="1:4" ht="15">
      <c r="A35" s="199" t="s">
        <v>243</v>
      </c>
      <c r="B35" s="201">
        <f>B8</f>
        <v>0</v>
      </c>
      <c r="C35" s="835"/>
      <c r="D35" s="194">
        <f t="shared" si="0"/>
        <v>0</v>
      </c>
    </row>
    <row r="36" spans="1:4" ht="15">
      <c r="A36" s="199" t="s">
        <v>244</v>
      </c>
      <c r="B36" s="201">
        <f>B6</f>
        <v>1</v>
      </c>
      <c r="C36" s="835"/>
      <c r="D36" s="194">
        <f t="shared" si="0"/>
        <v>0</v>
      </c>
    </row>
    <row r="37" spans="1:4" ht="12.75">
      <c r="C37" s="2" t="s">
        <v>9</v>
      </c>
      <c r="D37">
        <f>SUM(D15:D36)</f>
        <v>88.515000000000015</v>
      </c>
    </row>
    <row r="44" spans="1:4">
      <c r="B44" s="197"/>
    </row>
  </sheetData>
  <sheetProtection algorithmName="SHA-512" hashValue="8LGcgslSqpsyZjk0IReGEjf2zRKuHf3uUyBNiMLl3YQlp2dAc1TLbGAA3TLgpJE/NWcWQOOYfT5lQKt16/vOcA==" saltValue="8M1jGL1v4C+fxDuecQnarg==" spinCount="100000" sheet="1" objects="1" scenarios="1"/>
  <mergeCells count="12">
    <mergeCell ref="A13:D13"/>
    <mergeCell ref="C5:D5"/>
    <mergeCell ref="C6:D6"/>
    <mergeCell ref="C7:D7"/>
    <mergeCell ref="C8:D8"/>
    <mergeCell ref="C12:D12"/>
    <mergeCell ref="C10:D10"/>
    <mergeCell ref="A1:D1"/>
    <mergeCell ref="C2:D2"/>
    <mergeCell ref="C3:D3"/>
    <mergeCell ref="C4:D4"/>
    <mergeCell ref="C9:D9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48"/>
  <sheetViews>
    <sheetView workbookViewId="0">
      <selection activeCell="B31" sqref="B31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76" t="s">
        <v>306</v>
      </c>
      <c r="B1" s="1162"/>
      <c r="C1" s="1162"/>
      <c r="D1" s="1162"/>
    </row>
    <row r="2" spans="1:4">
      <c r="A2" s="108" t="s">
        <v>10</v>
      </c>
      <c r="B2" s="827">
        <v>1</v>
      </c>
      <c r="C2" s="1090" t="s">
        <v>125</v>
      </c>
      <c r="D2" s="1033"/>
    </row>
    <row r="3" spans="1:4" ht="12" thickBot="1">
      <c r="A3" s="110" t="s">
        <v>1</v>
      </c>
      <c r="B3" s="828">
        <v>1</v>
      </c>
      <c r="C3" s="1177" t="s">
        <v>30</v>
      </c>
      <c r="D3" s="1178"/>
    </row>
    <row r="4" spans="1:4" ht="22.5">
      <c r="A4" s="198" t="s">
        <v>246</v>
      </c>
      <c r="B4" s="899">
        <v>0</v>
      </c>
      <c r="C4" s="1174" t="s">
        <v>30</v>
      </c>
      <c r="D4" s="1035"/>
    </row>
    <row r="5" spans="1:4">
      <c r="A5" s="198" t="s">
        <v>247</v>
      </c>
      <c r="B5" s="899">
        <v>1</v>
      </c>
      <c r="C5" s="1152" t="s">
        <v>30</v>
      </c>
      <c r="D5" s="1153"/>
    </row>
    <row r="6" spans="1:4">
      <c r="A6" s="198" t="s">
        <v>250</v>
      </c>
      <c r="B6" s="899">
        <v>1</v>
      </c>
      <c r="C6" s="1152" t="s">
        <v>30</v>
      </c>
      <c r="D6" s="1153"/>
    </row>
    <row r="7" spans="1:4">
      <c r="A7" s="198" t="s">
        <v>249</v>
      </c>
      <c r="B7" s="899">
        <v>0</v>
      </c>
      <c r="C7" s="1152" t="s">
        <v>30</v>
      </c>
      <c r="D7" s="1153"/>
    </row>
    <row r="8" spans="1:4">
      <c r="A8" s="198" t="s">
        <v>251</v>
      </c>
      <c r="B8" s="899">
        <v>0</v>
      </c>
      <c r="C8" s="1152" t="s">
        <v>30</v>
      </c>
      <c r="D8" s="1153"/>
    </row>
    <row r="9" spans="1:4">
      <c r="A9" s="109" t="s">
        <v>123</v>
      </c>
      <c r="B9" s="829">
        <f>B4+B5</f>
        <v>1</v>
      </c>
      <c r="C9" s="1092" t="s">
        <v>29</v>
      </c>
      <c r="D9" s="1093"/>
    </row>
    <row r="10" spans="1:4" ht="33" customHeight="1">
      <c r="A10" s="203" t="s">
        <v>303</v>
      </c>
      <c r="B10" s="830">
        <v>1</v>
      </c>
      <c r="C10" s="1223" t="s">
        <v>304</v>
      </c>
      <c r="D10" s="1153"/>
    </row>
    <row r="11" spans="1:4" ht="35.25" customHeight="1">
      <c r="A11" s="203" t="s">
        <v>305</v>
      </c>
      <c r="B11" s="830">
        <v>3</v>
      </c>
      <c r="C11" s="1223" t="s">
        <v>307</v>
      </c>
      <c r="D11" s="1153"/>
    </row>
    <row r="12" spans="1:4">
      <c r="A12" s="203" t="s">
        <v>291</v>
      </c>
      <c r="B12" s="829">
        <v>1</v>
      </c>
      <c r="C12" s="217" t="s">
        <v>255</v>
      </c>
      <c r="D12" s="216" t="s">
        <v>256</v>
      </c>
    </row>
    <row r="13" spans="1:4">
      <c r="A13" s="202" t="s">
        <v>254</v>
      </c>
      <c r="B13" s="829">
        <v>2</v>
      </c>
      <c r="C13" s="217" t="s">
        <v>255</v>
      </c>
      <c r="D13" s="216" t="s">
        <v>256</v>
      </c>
    </row>
    <row r="14" spans="1:4" ht="22.5">
      <c r="A14" s="225" t="s">
        <v>302</v>
      </c>
      <c r="B14" s="829">
        <v>1</v>
      </c>
      <c r="C14" s="217"/>
      <c r="D14" s="216"/>
    </row>
    <row r="15" spans="1:4" ht="12" thickBot="1">
      <c r="A15" s="146" t="s">
        <v>143</v>
      </c>
      <c r="B15" s="902">
        <v>1</v>
      </c>
      <c r="C15" s="1181" t="s">
        <v>30</v>
      </c>
      <c r="D15" s="1182"/>
    </row>
    <row r="16" spans="1:4" ht="12" thickBot="1">
      <c r="A16" s="1175"/>
      <c r="B16" s="1175"/>
      <c r="C16" s="1175"/>
      <c r="D16" s="1175"/>
    </row>
    <row r="17" spans="1:4" ht="12.75">
      <c r="A17" s="96" t="s">
        <v>5</v>
      </c>
      <c r="B17" s="97" t="s">
        <v>0</v>
      </c>
      <c r="C17" s="117" t="s">
        <v>4</v>
      </c>
      <c r="D17" s="218" t="s">
        <v>8</v>
      </c>
    </row>
    <row r="18" spans="1:4" ht="15">
      <c r="A18" s="224" t="s">
        <v>293</v>
      </c>
      <c r="B18" s="222">
        <f>IF(B12=2,(B2-0.14)*B9,(B2-0.1)*B9)</f>
        <v>0.9</v>
      </c>
      <c r="C18" s="847">
        <v>9</v>
      </c>
      <c r="D18" s="215">
        <f t="shared" ref="D18:D40" si="0">C18*B18</f>
        <v>8.1</v>
      </c>
    </row>
    <row r="19" spans="1:4" ht="15">
      <c r="A19" s="224" t="s">
        <v>288</v>
      </c>
      <c r="B19" s="223">
        <f>ROUNDUP(B2*10*B4,0)+EVEN(B2*10*B5)</f>
        <v>10</v>
      </c>
      <c r="C19" s="847"/>
      <c r="D19" s="215">
        <f t="shared" si="0"/>
        <v>0</v>
      </c>
    </row>
    <row r="20" spans="1:4" ht="15">
      <c r="A20" s="224" t="s">
        <v>289</v>
      </c>
      <c r="B20" s="223">
        <f>IF($B$12=2,$B$9,0)</f>
        <v>0</v>
      </c>
      <c r="C20" s="847"/>
      <c r="D20" s="215">
        <f t="shared" si="0"/>
        <v>0</v>
      </c>
    </row>
    <row r="21" spans="1:4" ht="15">
      <c r="A21" s="224" t="s">
        <v>290</v>
      </c>
      <c r="B21" s="223">
        <f>B9</f>
        <v>1</v>
      </c>
      <c r="C21" s="847"/>
      <c r="D21" s="215">
        <f t="shared" si="0"/>
        <v>0</v>
      </c>
    </row>
    <row r="22" spans="1:4" ht="15">
      <c r="A22" s="224" t="s">
        <v>295</v>
      </c>
      <c r="B22" s="223">
        <f>(IF($B$10=1,ROUNDUP($B$2/0.5,0),0))*$B$9</f>
        <v>2</v>
      </c>
      <c r="C22" s="847"/>
      <c r="D22" s="215">
        <f t="shared" si="0"/>
        <v>0</v>
      </c>
    </row>
    <row r="23" spans="1:4" ht="15">
      <c r="A23" s="224" t="s">
        <v>296</v>
      </c>
      <c r="B23" s="223">
        <f>(IF($B$10=2,ROUNDUP($B$2/0.5,0),0))*$B$9</f>
        <v>0</v>
      </c>
      <c r="C23" s="847"/>
      <c r="D23" s="215">
        <f t="shared" si="0"/>
        <v>0</v>
      </c>
    </row>
    <row r="24" spans="1:4" ht="15">
      <c r="A24" s="224" t="s">
        <v>297</v>
      </c>
      <c r="B24" s="223">
        <f>(IF($B$10=3,ROUNDUP($B$2/0.5,0),0))*$B$9</f>
        <v>0</v>
      </c>
      <c r="C24" s="847"/>
      <c r="D24" s="215">
        <f t="shared" si="0"/>
        <v>0</v>
      </c>
    </row>
    <row r="25" spans="1:4" ht="15">
      <c r="A25" s="224" t="s">
        <v>298</v>
      </c>
      <c r="B25" s="223">
        <f>IF($B$10=1,0,((IF($B$11=2,ROUNDUP($B$2/0.5,0),0))*$B$9))</f>
        <v>0</v>
      </c>
      <c r="C25" s="835"/>
      <c r="D25" s="215">
        <f t="shared" si="0"/>
        <v>0</v>
      </c>
    </row>
    <row r="26" spans="1:4" ht="15">
      <c r="A26" s="224" t="s">
        <v>299</v>
      </c>
      <c r="B26" s="223">
        <f>IF($B$10=1,0,((IF($B$11=3,ROUNDUP($B$2/0.5,0),0))*$B$9))</f>
        <v>0</v>
      </c>
      <c r="C26" s="835"/>
      <c r="D26" s="215">
        <f t="shared" si="0"/>
        <v>0</v>
      </c>
    </row>
    <row r="27" spans="1:4" ht="15">
      <c r="A27" s="199" t="s">
        <v>235</v>
      </c>
      <c r="B27" s="201">
        <f>B4*2+4*B5</f>
        <v>4</v>
      </c>
      <c r="C27" s="847"/>
      <c r="D27" s="215">
        <f t="shared" si="0"/>
        <v>0</v>
      </c>
    </row>
    <row r="28" spans="1:4" ht="15">
      <c r="A28" s="224" t="s">
        <v>292</v>
      </c>
      <c r="B28" s="223">
        <f>B4+2*B5</f>
        <v>2</v>
      </c>
      <c r="C28" s="847"/>
      <c r="D28" s="215">
        <f t="shared" si="0"/>
        <v>0</v>
      </c>
    </row>
    <row r="29" spans="1:4" ht="15">
      <c r="A29" s="224" t="s">
        <v>291</v>
      </c>
      <c r="B29" s="223">
        <f>IF($B$12=2,0,$B$9)</f>
        <v>1</v>
      </c>
      <c r="C29" s="847"/>
      <c r="D29" s="215">
        <f t="shared" si="0"/>
        <v>0</v>
      </c>
    </row>
    <row r="30" spans="1:4" ht="15">
      <c r="A30" s="221" t="s">
        <v>239</v>
      </c>
      <c r="B30" s="223">
        <f>IF(B12=1,(($B$2-0.14)*2+0.21)*$B$9,IF(B12=2,(($B$2-0.1)*2+0.21)*$B$9,0))</f>
        <v>1.93</v>
      </c>
      <c r="C30" s="835"/>
      <c r="D30" s="215">
        <f t="shared" si="0"/>
        <v>0</v>
      </c>
    </row>
    <row r="31" spans="1:4" ht="15">
      <c r="A31" s="221" t="s">
        <v>301</v>
      </c>
      <c r="B31" s="223">
        <f>B5</f>
        <v>1</v>
      </c>
      <c r="C31" s="848"/>
      <c r="D31" s="215">
        <f t="shared" si="0"/>
        <v>0</v>
      </c>
    </row>
    <row r="32" spans="1:4" ht="15">
      <c r="A32" s="224" t="s">
        <v>313</v>
      </c>
      <c r="B32" s="223">
        <f>B9</f>
        <v>1</v>
      </c>
      <c r="C32" s="848"/>
      <c r="D32" s="215">
        <f t="shared" si="0"/>
        <v>0</v>
      </c>
    </row>
    <row r="33" spans="1:4" ht="15">
      <c r="A33" s="224" t="s">
        <v>294</v>
      </c>
      <c r="B33" s="223">
        <f>B14</f>
        <v>1</v>
      </c>
      <c r="C33" s="848"/>
      <c r="D33" s="215">
        <f t="shared" si="0"/>
        <v>0</v>
      </c>
    </row>
    <row r="34" spans="1:4" ht="15">
      <c r="A34" s="224" t="s">
        <v>300</v>
      </c>
      <c r="B34" s="223">
        <f>(IF(B13=1,B9,0))</f>
        <v>0</v>
      </c>
      <c r="C34" s="835"/>
      <c r="D34" s="215">
        <f t="shared" si="0"/>
        <v>0</v>
      </c>
    </row>
    <row r="35" spans="1:4" ht="15">
      <c r="A35" s="224" t="s">
        <v>309</v>
      </c>
      <c r="B35" s="223">
        <f>B7</f>
        <v>0</v>
      </c>
      <c r="C35" s="835"/>
      <c r="D35" s="215">
        <f t="shared" si="0"/>
        <v>0</v>
      </c>
    </row>
    <row r="36" spans="1:4" ht="15">
      <c r="A36" s="221" t="s">
        <v>310</v>
      </c>
      <c r="B36" s="223">
        <f>B15</f>
        <v>1</v>
      </c>
      <c r="C36" s="848"/>
      <c r="D36" s="215">
        <f t="shared" si="0"/>
        <v>0</v>
      </c>
    </row>
    <row r="37" spans="1:4" ht="15">
      <c r="A37" s="200" t="s">
        <v>241</v>
      </c>
      <c r="B37" s="201"/>
      <c r="C37" s="835"/>
      <c r="D37" s="215">
        <f t="shared" si="0"/>
        <v>0</v>
      </c>
    </row>
    <row r="38" spans="1:4" ht="15">
      <c r="A38" s="199" t="s">
        <v>311</v>
      </c>
      <c r="B38" s="201">
        <f>B7</f>
        <v>0</v>
      </c>
      <c r="C38" s="835"/>
      <c r="D38" s="215">
        <f t="shared" si="0"/>
        <v>0</v>
      </c>
    </row>
    <row r="39" spans="1:4" ht="15">
      <c r="A39" s="199" t="s">
        <v>308</v>
      </c>
      <c r="B39" s="201">
        <f>B8</f>
        <v>0</v>
      </c>
      <c r="C39" s="835"/>
      <c r="D39" s="215">
        <f t="shared" si="0"/>
        <v>0</v>
      </c>
    </row>
    <row r="40" spans="1:4" ht="15">
      <c r="A40" s="199" t="s">
        <v>312</v>
      </c>
      <c r="B40" s="201">
        <f>B6</f>
        <v>1</v>
      </c>
      <c r="C40" s="835"/>
      <c r="D40" s="215">
        <f t="shared" si="0"/>
        <v>0</v>
      </c>
    </row>
    <row r="41" spans="1:4" ht="12.75">
      <c r="C41" s="2" t="s">
        <v>9</v>
      </c>
      <c r="D41">
        <f>SUM(D18:D40)</f>
        <v>8.1</v>
      </c>
    </row>
    <row r="48" spans="1:4">
      <c r="B48" s="197"/>
    </row>
  </sheetData>
  <sheetProtection algorithmName="SHA-512" hashValue="KV5ntp9WCAYe6SIxhVD4sUJw9QRDdKmpa9ibL+3/gLjX3zqZXzj1/mSnk8eED9pXi4PDQ+FTiwZqV8Yb/ClH6g==" saltValue="cmzBzjSoR+/jPF7SRGkbPg==" spinCount="100000" sheet="1" objects="1" scenarios="1"/>
  <mergeCells count="13">
    <mergeCell ref="A16:D16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5:D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176" t="s">
        <v>259</v>
      </c>
      <c r="B1" s="1162"/>
      <c r="C1" s="1162"/>
      <c r="D1" s="1162"/>
    </row>
    <row r="2" spans="1:4">
      <c r="A2" s="108" t="s">
        <v>10</v>
      </c>
      <c r="B2" s="827">
        <v>2</v>
      </c>
      <c r="C2" s="1090" t="s">
        <v>125</v>
      </c>
      <c r="D2" s="1033"/>
    </row>
    <row r="3" spans="1:4" ht="12" thickBot="1">
      <c r="A3" s="110" t="s">
        <v>1</v>
      </c>
      <c r="B3" s="828">
        <v>1</v>
      </c>
      <c r="C3" s="1177" t="s">
        <v>30</v>
      </c>
      <c r="D3" s="1178"/>
    </row>
    <row r="4" spans="1:4">
      <c r="A4" s="109" t="s">
        <v>123</v>
      </c>
      <c r="B4" s="829">
        <v>3</v>
      </c>
      <c r="C4" s="1092" t="s">
        <v>30</v>
      </c>
      <c r="D4" s="1093"/>
    </row>
    <row r="5" spans="1:4" ht="26.25" customHeight="1">
      <c r="A5" s="203" t="s">
        <v>257</v>
      </c>
      <c r="B5" s="830">
        <v>1</v>
      </c>
      <c r="C5" s="1223" t="s">
        <v>260</v>
      </c>
      <c r="D5" s="1153"/>
    </row>
    <row r="6" spans="1:4">
      <c r="A6" s="203" t="s">
        <v>830</v>
      </c>
      <c r="B6" s="830">
        <v>1</v>
      </c>
      <c r="C6" s="209" t="s">
        <v>261</v>
      </c>
      <c r="D6" s="207" t="s">
        <v>262</v>
      </c>
    </row>
    <row r="7" spans="1:4">
      <c r="A7" s="203" t="s">
        <v>283</v>
      </c>
      <c r="B7" s="830">
        <v>1</v>
      </c>
      <c r="C7" s="214" t="s">
        <v>284</v>
      </c>
      <c r="D7" s="212" t="s">
        <v>285</v>
      </c>
    </row>
    <row r="8" spans="1:4">
      <c r="A8" s="203" t="s">
        <v>124</v>
      </c>
      <c r="B8" s="830">
        <v>0</v>
      </c>
      <c r="C8" s="213" t="s">
        <v>255</v>
      </c>
      <c r="D8" s="212" t="s">
        <v>287</v>
      </c>
    </row>
    <row r="9" spans="1:4">
      <c r="A9" s="202" t="s">
        <v>275</v>
      </c>
      <c r="B9" s="829">
        <v>3</v>
      </c>
      <c r="C9" s="1152" t="s">
        <v>30</v>
      </c>
      <c r="D9" s="1106"/>
    </row>
    <row r="10" spans="1:4">
      <c r="A10" s="202" t="s">
        <v>277</v>
      </c>
      <c r="B10" s="829">
        <v>2</v>
      </c>
      <c r="C10" s="1152" t="s">
        <v>30</v>
      </c>
      <c r="D10" s="1106"/>
    </row>
    <row r="11" spans="1:4">
      <c r="A11" s="210" t="s">
        <v>274</v>
      </c>
      <c r="B11" s="829">
        <v>1</v>
      </c>
      <c r="C11" s="1152" t="s">
        <v>30</v>
      </c>
      <c r="D11" s="1106"/>
    </row>
    <row r="12" spans="1:4" ht="12" thickBot="1">
      <c r="A12" s="1175"/>
      <c r="B12" s="1175"/>
      <c r="C12" s="1175"/>
      <c r="D12" s="1175"/>
    </row>
    <row r="13" spans="1:4" ht="12.75">
      <c r="A13" s="96" t="s">
        <v>5</v>
      </c>
      <c r="B13" s="97" t="s">
        <v>0</v>
      </c>
      <c r="C13" s="117" t="s">
        <v>4</v>
      </c>
      <c r="D13" s="208" t="s">
        <v>8</v>
      </c>
    </row>
    <row r="14" spans="1:4" ht="15" customHeight="1">
      <c r="A14" s="206" t="s">
        <v>263</v>
      </c>
      <c r="B14" s="201">
        <f>(B2-0.004)*B4</f>
        <v>5.9879999999999995</v>
      </c>
      <c r="C14" s="847"/>
      <c r="D14" s="206">
        <f t="shared" ref="D14:D35" si="0">C14*B14</f>
        <v>0</v>
      </c>
    </row>
    <row r="15" spans="1:4" ht="15">
      <c r="A15" s="226" t="s">
        <v>314</v>
      </c>
      <c r="B15" s="201">
        <f>B4*2</f>
        <v>6</v>
      </c>
      <c r="C15" s="847"/>
      <c r="D15" s="206">
        <f t="shared" si="0"/>
        <v>0</v>
      </c>
    </row>
    <row r="16" spans="1:4" ht="15">
      <c r="A16" s="206" t="s">
        <v>264</v>
      </c>
      <c r="B16" s="201">
        <f>ROUNDUP(B2/0.4,0)*B4</f>
        <v>15</v>
      </c>
      <c r="C16" s="847"/>
      <c r="D16" s="206">
        <f t="shared" si="0"/>
        <v>0</v>
      </c>
    </row>
    <row r="17" spans="1:4" ht="15">
      <c r="A17" s="206" t="s">
        <v>265</v>
      </c>
      <c r="B17" s="201">
        <f>B16</f>
        <v>15</v>
      </c>
      <c r="C17" s="847"/>
      <c r="D17" s="206">
        <f t="shared" si="0"/>
        <v>0</v>
      </c>
    </row>
    <row r="18" spans="1:4" ht="15">
      <c r="A18" s="206" t="s">
        <v>266</v>
      </c>
      <c r="B18" s="201">
        <f>(IF(B5=1,ROUNDUP((B2-0.03)/0.5,0),0))*B4</f>
        <v>12</v>
      </c>
      <c r="C18" s="847"/>
      <c r="D18" s="206">
        <f t="shared" si="0"/>
        <v>0</v>
      </c>
    </row>
    <row r="19" spans="1:4" ht="15">
      <c r="A19" s="206" t="s">
        <v>267</v>
      </c>
      <c r="B19" s="201">
        <f>(IF(B5=2,ROUNDUP((B2-0.03)/0.5,0),0))*B4</f>
        <v>0</v>
      </c>
      <c r="C19" s="835"/>
      <c r="D19" s="206">
        <f t="shared" si="0"/>
        <v>0</v>
      </c>
    </row>
    <row r="20" spans="1:4" ht="15">
      <c r="A20" s="206" t="s">
        <v>831</v>
      </c>
      <c r="B20" s="201">
        <f>(IF(B6=1,ROUNDUP(B3/0.3,0),0))*(B2-0.01)*B4</f>
        <v>23.88</v>
      </c>
      <c r="C20" s="835"/>
      <c r="D20" s="206">
        <f t="shared" si="0"/>
        <v>0</v>
      </c>
    </row>
    <row r="21" spans="1:4" ht="15">
      <c r="A21" s="206" t="s">
        <v>832</v>
      </c>
      <c r="B21" s="201">
        <f>(IF(B6=2,ROUNDUP(B3/0.3,0),0))*(B2-0.01)*B4</f>
        <v>0</v>
      </c>
      <c r="C21" s="847"/>
      <c r="D21" s="206">
        <f t="shared" si="0"/>
        <v>0</v>
      </c>
    </row>
    <row r="22" spans="1:4" ht="15">
      <c r="A22" s="206" t="s">
        <v>268</v>
      </c>
      <c r="B22" s="201">
        <f>(B2-0.026)*B4</f>
        <v>5.9219999999999997</v>
      </c>
      <c r="C22" s="847"/>
      <c r="D22" s="206">
        <f t="shared" si="0"/>
        <v>0</v>
      </c>
    </row>
    <row r="23" spans="1:4" ht="15">
      <c r="A23" s="211" t="s">
        <v>286</v>
      </c>
      <c r="B23" s="201">
        <f>(IF(B7=2,(B2-0.01)*B4,0))</f>
        <v>0</v>
      </c>
      <c r="C23" s="847"/>
      <c r="D23" s="211">
        <f t="shared" si="0"/>
        <v>0</v>
      </c>
    </row>
    <row r="24" spans="1:4" ht="15">
      <c r="A24" s="211" t="s">
        <v>269</v>
      </c>
      <c r="B24" s="201">
        <f>(IF(B7=1,(B2-0.01)*B4,0))</f>
        <v>5.97</v>
      </c>
      <c r="C24" s="848"/>
      <c r="D24" s="211">
        <f t="shared" si="0"/>
        <v>0</v>
      </c>
    </row>
    <row r="25" spans="1:4" ht="15">
      <c r="A25" s="206" t="s">
        <v>270</v>
      </c>
      <c r="B25" s="201">
        <f>B4*2</f>
        <v>6</v>
      </c>
      <c r="C25" s="835"/>
      <c r="D25" s="206">
        <f t="shared" si="0"/>
        <v>0</v>
      </c>
    </row>
    <row r="26" spans="1:4" ht="15">
      <c r="A26" s="206" t="s">
        <v>271</v>
      </c>
      <c r="B26" s="201">
        <f>B16*(B3+0.2)</f>
        <v>18</v>
      </c>
      <c r="C26" s="835"/>
      <c r="D26" s="206">
        <f t="shared" si="0"/>
        <v>0</v>
      </c>
    </row>
    <row r="27" spans="1:4" ht="15">
      <c r="A27" s="206" t="s">
        <v>272</v>
      </c>
      <c r="B27" s="201">
        <f>2*B4</f>
        <v>6</v>
      </c>
      <c r="C27" s="848"/>
      <c r="D27" s="206">
        <f t="shared" si="0"/>
        <v>0</v>
      </c>
    </row>
    <row r="28" spans="1:4" ht="15">
      <c r="A28" s="206" t="s">
        <v>273</v>
      </c>
      <c r="B28" s="201">
        <f>2*B4</f>
        <v>6</v>
      </c>
      <c r="C28" s="835"/>
      <c r="D28" s="206">
        <f t="shared" si="0"/>
        <v>0</v>
      </c>
    </row>
    <row r="29" spans="1:4" ht="15">
      <c r="A29" s="206" t="s">
        <v>276</v>
      </c>
      <c r="B29" s="201">
        <f>B4</f>
        <v>3</v>
      </c>
      <c r="C29" s="835"/>
      <c r="D29" s="206">
        <f t="shared" si="0"/>
        <v>0</v>
      </c>
    </row>
    <row r="30" spans="1:4" ht="15">
      <c r="A30" s="206" t="s">
        <v>145</v>
      </c>
      <c r="B30" s="201">
        <f>B10</f>
        <v>2</v>
      </c>
      <c r="C30" s="835"/>
      <c r="D30" s="206">
        <f t="shared" si="0"/>
        <v>0</v>
      </c>
    </row>
    <row r="31" spans="1:4" ht="15">
      <c r="A31" s="206" t="s">
        <v>278</v>
      </c>
      <c r="B31" s="201">
        <f>B9</f>
        <v>3</v>
      </c>
      <c r="C31" s="835"/>
      <c r="D31" s="206">
        <f t="shared" si="0"/>
        <v>0</v>
      </c>
    </row>
    <row r="32" spans="1:4" ht="15">
      <c r="A32" s="219" t="s">
        <v>124</v>
      </c>
      <c r="B32" s="220">
        <f>IF(B8=1,(B2)*(B4),0)</f>
        <v>0</v>
      </c>
      <c r="C32" s="848"/>
      <c r="D32" s="211">
        <f t="shared" si="0"/>
        <v>0</v>
      </c>
    </row>
    <row r="33" spans="1:4" ht="15">
      <c r="A33" s="206" t="s">
        <v>279</v>
      </c>
      <c r="B33" s="201">
        <f>B11</f>
        <v>1</v>
      </c>
      <c r="C33" s="835"/>
      <c r="D33" s="206">
        <f t="shared" si="0"/>
        <v>0</v>
      </c>
    </row>
    <row r="34" spans="1:4" ht="15">
      <c r="A34" s="1224" t="s">
        <v>241</v>
      </c>
      <c r="B34" s="1225"/>
      <c r="C34" s="1225"/>
      <c r="D34" s="1226"/>
    </row>
    <row r="35" spans="1:4" ht="15">
      <c r="A35" s="199" t="s">
        <v>233</v>
      </c>
      <c r="B35" s="201">
        <f>B4</f>
        <v>3</v>
      </c>
      <c r="C35" s="835"/>
      <c r="D35" s="206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pHWTOnvjoAspJ+JdUAfSd8dH3Mv4dVxNpGfIsHnpit9bfQjlblFbOk8FHyLV12n0H5MdVYNZekNknThLoCpRXA==" saltValue="mUdr4qGaJAiMx8BY83Tta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176" t="s">
        <v>777</v>
      </c>
      <c r="B1" s="1162"/>
      <c r="C1" s="1162"/>
      <c r="D1" s="1162"/>
    </row>
    <row r="2" spans="1:4">
      <c r="A2" s="108" t="s">
        <v>10</v>
      </c>
      <c r="B2" s="827">
        <v>1</v>
      </c>
      <c r="C2" s="1090" t="s">
        <v>125</v>
      </c>
      <c r="D2" s="1033"/>
    </row>
    <row r="3" spans="1:4" ht="12" thickBot="1">
      <c r="A3" s="110" t="s">
        <v>1</v>
      </c>
      <c r="B3" s="828">
        <v>1</v>
      </c>
      <c r="C3" s="1177" t="s">
        <v>30</v>
      </c>
      <c r="D3" s="1178"/>
    </row>
    <row r="4" spans="1:4">
      <c r="A4" s="109" t="s">
        <v>123</v>
      </c>
      <c r="B4" s="829">
        <v>1</v>
      </c>
      <c r="C4" s="1092" t="s">
        <v>30</v>
      </c>
      <c r="D4" s="1093"/>
    </row>
    <row r="5" spans="1:4">
      <c r="A5" s="813" t="s">
        <v>830</v>
      </c>
      <c r="B5" s="830">
        <v>1</v>
      </c>
      <c r="C5" s="784" t="s">
        <v>261</v>
      </c>
      <c r="D5" s="777" t="s">
        <v>262</v>
      </c>
    </row>
    <row r="6" spans="1:4">
      <c r="A6" s="813" t="s">
        <v>283</v>
      </c>
      <c r="B6" s="830">
        <v>0</v>
      </c>
      <c r="C6" s="784" t="s">
        <v>284</v>
      </c>
      <c r="D6" s="777" t="s">
        <v>285</v>
      </c>
    </row>
    <row r="7" spans="1:4">
      <c r="A7" s="813" t="s">
        <v>124</v>
      </c>
      <c r="B7" s="830">
        <v>0</v>
      </c>
      <c r="C7" s="781" t="s">
        <v>255</v>
      </c>
      <c r="D7" s="777" t="s">
        <v>287</v>
      </c>
    </row>
    <row r="8" spans="1:4" ht="33.75" customHeight="1">
      <c r="A8" s="813" t="s">
        <v>589</v>
      </c>
      <c r="B8" s="830">
        <v>0</v>
      </c>
      <c r="C8" s="1223" t="s">
        <v>791</v>
      </c>
      <c r="D8" s="1227"/>
    </row>
    <row r="9" spans="1:4">
      <c r="A9" s="814" t="s">
        <v>277</v>
      </c>
      <c r="B9" s="829">
        <v>0</v>
      </c>
      <c r="C9" s="1152" t="s">
        <v>30</v>
      </c>
      <c r="D9" s="1153"/>
    </row>
    <row r="10" spans="1:4" ht="12" thickBot="1">
      <c r="A10" s="110" t="s">
        <v>274</v>
      </c>
      <c r="B10" s="828">
        <v>0</v>
      </c>
      <c r="C10" s="1150" t="s">
        <v>30</v>
      </c>
      <c r="D10" s="1151"/>
    </row>
    <row r="11" spans="1:4" ht="12" thickBot="1">
      <c r="A11" s="1175"/>
      <c r="B11" s="1175"/>
      <c r="C11" s="1175"/>
      <c r="D11" s="1175"/>
    </row>
    <row r="12" spans="1:4" ht="12.75">
      <c r="A12" s="96" t="s">
        <v>5</v>
      </c>
      <c r="B12" s="97" t="s">
        <v>0</v>
      </c>
      <c r="C12" s="117" t="s">
        <v>4</v>
      </c>
      <c r="D12" s="783" t="s">
        <v>8</v>
      </c>
    </row>
    <row r="13" spans="1:4" ht="15">
      <c r="A13" s="778" t="s">
        <v>778</v>
      </c>
      <c r="B13" s="201">
        <f>(B2-0.032)*B4</f>
        <v>0.96799999999999997</v>
      </c>
      <c r="C13" s="831">
        <v>1</v>
      </c>
      <c r="D13" s="778">
        <f t="shared" ref="D13:D41" si="0">C13*B13</f>
        <v>0.96799999999999997</v>
      </c>
    </row>
    <row r="14" spans="1:4" ht="15">
      <c r="A14" s="778" t="s">
        <v>780</v>
      </c>
      <c r="B14" s="201">
        <f>ROUNDUP((((B2-0.15)/0.4)+2)*B4,0)</f>
        <v>5</v>
      </c>
      <c r="C14" s="831"/>
      <c r="D14" s="778">
        <f t="shared" si="0"/>
        <v>0</v>
      </c>
    </row>
    <row r="15" spans="1:4" ht="15">
      <c r="A15" s="778" t="s">
        <v>781</v>
      </c>
      <c r="B15" s="201">
        <f>B4*2</f>
        <v>2</v>
      </c>
      <c r="C15" s="831"/>
      <c r="D15" s="778">
        <f t="shared" si="0"/>
        <v>0</v>
      </c>
    </row>
    <row r="16" spans="1:4" ht="15">
      <c r="A16" s="778" t="s">
        <v>782</v>
      </c>
      <c r="B16" s="201">
        <f>B4</f>
        <v>1</v>
      </c>
      <c r="C16" s="831"/>
      <c r="D16" s="778">
        <f t="shared" si="0"/>
        <v>0</v>
      </c>
    </row>
    <row r="17" spans="1:4" ht="15">
      <c r="A17" s="778" t="s">
        <v>141</v>
      </c>
      <c r="B17" s="201">
        <f>B4</f>
        <v>1</v>
      </c>
      <c r="C17" s="831"/>
      <c r="D17" s="778">
        <f t="shared" si="0"/>
        <v>0</v>
      </c>
    </row>
    <row r="18" spans="1:4" ht="15">
      <c r="A18" s="778" t="s">
        <v>142</v>
      </c>
      <c r="B18" s="201">
        <f>B4</f>
        <v>1</v>
      </c>
      <c r="C18" s="831"/>
      <c r="D18" s="778">
        <f t="shared" si="0"/>
        <v>0</v>
      </c>
    </row>
    <row r="19" spans="1:4" ht="15">
      <c r="A19" s="778" t="s">
        <v>783</v>
      </c>
      <c r="B19" s="201">
        <f>ROUNDUP(((B2-0.15)/0.4)*B4,0)</f>
        <v>3</v>
      </c>
      <c r="C19" s="831"/>
      <c r="D19" s="778">
        <f t="shared" si="0"/>
        <v>0</v>
      </c>
    </row>
    <row r="20" spans="1:4" ht="15">
      <c r="A20" s="778" t="s">
        <v>784</v>
      </c>
      <c r="B20" s="201">
        <f>ROUNDUP(B2/0.4,0)*B4</f>
        <v>3</v>
      </c>
      <c r="C20" s="831"/>
      <c r="D20" s="778">
        <f t="shared" si="0"/>
        <v>0</v>
      </c>
    </row>
    <row r="21" spans="1:4" ht="15">
      <c r="A21" s="778" t="s">
        <v>785</v>
      </c>
      <c r="B21" s="201">
        <f>B4</f>
        <v>1</v>
      </c>
      <c r="C21" s="831"/>
      <c r="D21" s="778">
        <f t="shared" si="0"/>
        <v>0</v>
      </c>
    </row>
    <row r="22" spans="1:4" ht="15">
      <c r="A22" s="778" t="s">
        <v>265</v>
      </c>
      <c r="B22" s="201">
        <f>B20</f>
        <v>3</v>
      </c>
      <c r="C22" s="831"/>
      <c r="D22" s="778">
        <f t="shared" si="0"/>
        <v>0</v>
      </c>
    </row>
    <row r="23" spans="1:4" ht="15">
      <c r="A23" s="778" t="s">
        <v>786</v>
      </c>
      <c r="B23" s="201">
        <f>ROUNDUP((B2-0.03)/0.5,0)*B4</f>
        <v>2</v>
      </c>
      <c r="C23" s="831"/>
      <c r="D23" s="778">
        <f t="shared" si="0"/>
        <v>0</v>
      </c>
    </row>
    <row r="24" spans="1:4" ht="15">
      <c r="A24" s="778" t="s">
        <v>787</v>
      </c>
      <c r="B24" s="201">
        <f>ROUNDUP(B2/0.4,0)*B4</f>
        <v>3</v>
      </c>
      <c r="C24" s="832"/>
      <c r="D24" s="778">
        <f t="shared" si="0"/>
        <v>0</v>
      </c>
    </row>
    <row r="25" spans="1:4" ht="15">
      <c r="A25" s="778" t="s">
        <v>833</v>
      </c>
      <c r="B25" s="201">
        <f>(IF(B5=1,ROUNDUP(B3/0.3,0),0))*(B2-0.01)*B4</f>
        <v>3.96</v>
      </c>
      <c r="C25" s="832"/>
      <c r="D25" s="778">
        <f t="shared" si="0"/>
        <v>0</v>
      </c>
    </row>
    <row r="26" spans="1:4" ht="15">
      <c r="A26" s="778" t="s">
        <v>832</v>
      </c>
      <c r="B26" s="201">
        <f>(IF(B5=2,ROUNDUP(B3/0.3,0),0))*(B2-0.01)*B4</f>
        <v>0</v>
      </c>
      <c r="C26" s="831"/>
      <c r="D26" s="778">
        <f t="shared" si="0"/>
        <v>0</v>
      </c>
    </row>
    <row r="27" spans="1:4" ht="15">
      <c r="A27" s="778" t="s">
        <v>779</v>
      </c>
      <c r="B27" s="201">
        <f>(B2-0.08)*B4</f>
        <v>0.92</v>
      </c>
      <c r="C27" s="831"/>
      <c r="D27" s="778">
        <f t="shared" si="0"/>
        <v>0</v>
      </c>
    </row>
    <row r="28" spans="1:4" ht="15">
      <c r="A28" s="778" t="s">
        <v>286</v>
      </c>
      <c r="B28" s="201">
        <f>(IF(B6=2,(B2-0.01)*B4,0))</f>
        <v>0</v>
      </c>
      <c r="C28" s="831"/>
      <c r="D28" s="778">
        <f t="shared" si="0"/>
        <v>0</v>
      </c>
    </row>
    <row r="29" spans="1:4" ht="15">
      <c r="A29" s="778" t="s">
        <v>269</v>
      </c>
      <c r="B29" s="201">
        <f>(IF(B6=1,(B2-0.01)*B4,0))</f>
        <v>0</v>
      </c>
      <c r="C29" s="833"/>
      <c r="D29" s="778">
        <f t="shared" si="0"/>
        <v>0</v>
      </c>
    </row>
    <row r="30" spans="1:4" ht="15">
      <c r="A30" s="778" t="s">
        <v>789</v>
      </c>
      <c r="B30" s="201">
        <f>B4*4</f>
        <v>4</v>
      </c>
      <c r="C30" s="832"/>
      <c r="D30" s="778">
        <f t="shared" si="0"/>
        <v>0</v>
      </c>
    </row>
    <row r="31" spans="1:4" ht="15">
      <c r="A31" s="778" t="s">
        <v>788</v>
      </c>
      <c r="B31" s="201">
        <f>B20*(B3+0.2)</f>
        <v>3.5999999999999996</v>
      </c>
      <c r="C31" s="832"/>
      <c r="D31" s="778">
        <f t="shared" si="0"/>
        <v>0</v>
      </c>
    </row>
    <row r="32" spans="1:4" ht="15">
      <c r="A32" s="778" t="s">
        <v>790</v>
      </c>
      <c r="B32" s="201">
        <f>ROUNDUP((((B2-0.15)/0.4)+2)*B4*2,0)</f>
        <v>9</v>
      </c>
      <c r="C32" s="833"/>
      <c r="D32" s="778">
        <f t="shared" si="0"/>
        <v>0</v>
      </c>
    </row>
    <row r="33" spans="1:4" ht="15">
      <c r="A33" s="778" t="s">
        <v>145</v>
      </c>
      <c r="B33" s="220">
        <f>B9*B4</f>
        <v>0</v>
      </c>
      <c r="C33" s="833"/>
      <c r="D33" s="778">
        <f t="shared" si="0"/>
        <v>0</v>
      </c>
    </row>
    <row r="34" spans="1:4" ht="15">
      <c r="A34" s="23" t="s">
        <v>689</v>
      </c>
      <c r="B34" s="220">
        <f>B10*B4</f>
        <v>0</v>
      </c>
      <c r="C34" s="833"/>
      <c r="D34" s="778">
        <f t="shared" si="0"/>
        <v>0</v>
      </c>
    </row>
    <row r="35" spans="1:4" ht="15">
      <c r="A35" s="219" t="s">
        <v>124</v>
      </c>
      <c r="B35" s="220">
        <f>IF(B7=1,B2*B4,0)</f>
        <v>0</v>
      </c>
      <c r="C35" s="833"/>
      <c r="D35" s="778">
        <f t="shared" si="0"/>
        <v>0</v>
      </c>
    </row>
    <row r="36" spans="1:4" ht="15">
      <c r="A36" s="1224" t="s">
        <v>241</v>
      </c>
      <c r="B36" s="1225"/>
      <c r="C36" s="1225"/>
      <c r="D36" s="1226"/>
    </row>
    <row r="37" spans="1:4" ht="15">
      <c r="A37" s="416" t="s">
        <v>489</v>
      </c>
      <c r="B37" s="834">
        <f>IF(B8=1,B4,0)</f>
        <v>0</v>
      </c>
      <c r="C37" s="835"/>
      <c r="D37" s="778">
        <f t="shared" si="0"/>
        <v>0</v>
      </c>
    </row>
    <row r="38" spans="1:4" ht="15">
      <c r="A38" s="418" t="s">
        <v>486</v>
      </c>
      <c r="B38" s="834">
        <f>IF(B8=2,B4,0)</f>
        <v>0</v>
      </c>
      <c r="C38" s="835"/>
      <c r="D38" s="778">
        <f t="shared" si="0"/>
        <v>0</v>
      </c>
    </row>
    <row r="39" spans="1:4" ht="15">
      <c r="A39" s="418" t="s">
        <v>487</v>
      </c>
      <c r="B39" s="834">
        <f>IF(B8=3,B4,0)</f>
        <v>0</v>
      </c>
      <c r="C39" s="835"/>
      <c r="D39" s="778">
        <f t="shared" si="0"/>
        <v>0</v>
      </c>
    </row>
    <row r="40" spans="1:4" ht="15">
      <c r="A40" s="418" t="s">
        <v>488</v>
      </c>
      <c r="B40" s="834">
        <f>IF(B8=4,B4,0)</f>
        <v>0</v>
      </c>
      <c r="C40" s="835"/>
      <c r="D40" s="778">
        <f t="shared" si="0"/>
        <v>0</v>
      </c>
    </row>
    <row r="41" spans="1:4" ht="15">
      <c r="A41" s="418" t="s">
        <v>494</v>
      </c>
      <c r="B41" s="834">
        <f>IF(B8=5,B4,0)</f>
        <v>0</v>
      </c>
      <c r="C41" s="835"/>
      <c r="D41" s="778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33" activePane="bottomLeft" state="frozen"/>
      <selection pane="bottomLeft" activeCell="E41" sqref="E41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05"/>
      <c r="B1" s="1229"/>
      <c r="C1" s="1230"/>
      <c r="D1" s="1230"/>
      <c r="E1" s="1230"/>
      <c r="F1" s="406"/>
      <c r="G1" s="406"/>
      <c r="H1" s="405"/>
      <c r="I1" s="405"/>
      <c r="J1" s="405"/>
      <c r="K1" s="405"/>
    </row>
    <row r="2" spans="1:16" ht="12" customHeight="1" thickBot="1">
      <c r="A2" s="405"/>
      <c r="B2" s="407" t="s">
        <v>10</v>
      </c>
      <c r="C2" s="458">
        <v>0</v>
      </c>
      <c r="D2" s="1231" t="s">
        <v>595</v>
      </c>
      <c r="E2" s="1232"/>
      <c r="F2" s="1233"/>
      <c r="G2" s="408"/>
      <c r="H2" s="409" t="s">
        <v>485</v>
      </c>
      <c r="I2" s="410" t="s">
        <v>604</v>
      </c>
      <c r="J2" s="410" t="s">
        <v>4</v>
      </c>
      <c r="K2" s="411" t="s">
        <v>8</v>
      </c>
      <c r="L2" s="256"/>
      <c r="M2" s="256"/>
    </row>
    <row r="3" spans="1:16" ht="12" customHeight="1" thickBot="1">
      <c r="A3" s="405"/>
      <c r="B3" s="412" t="s">
        <v>1</v>
      </c>
      <c r="C3" s="459"/>
      <c r="D3" s="1234"/>
      <c r="E3" s="1235"/>
      <c r="F3" s="1236"/>
      <c r="G3" s="408"/>
      <c r="H3" s="571" t="s">
        <v>372</v>
      </c>
      <c r="I3" s="572" t="str">
        <f>IF(AND($C$10+$C$11=1,$C$12+$C$13+$C$14+$C$15=0,$C$16=2),"ДА","НЕТ")</f>
        <v>НЕТ</v>
      </c>
      <c r="J3" s="573"/>
      <c r="K3" s="574">
        <f>IF(I3="ДА",($C$4+$C$5+$C$6+$C$7+$C$8+$C$9)*J3,0)</f>
        <v>0</v>
      </c>
      <c r="L3" s="266"/>
    </row>
    <row r="4" spans="1:16" ht="11.25" customHeight="1">
      <c r="A4" s="405"/>
      <c r="B4" s="415" t="s">
        <v>520</v>
      </c>
      <c r="C4" s="460">
        <v>1</v>
      </c>
      <c r="D4" s="1232" t="s">
        <v>596</v>
      </c>
      <c r="E4" s="1232"/>
      <c r="F4" s="1233"/>
      <c r="G4" s="408"/>
      <c r="H4" s="416" t="s">
        <v>373</v>
      </c>
      <c r="I4" s="414" t="str">
        <f>IF(AND($C$10+$C$11=1,$C$12+$C$13+$C$14+$C$15=0,$C$16=2),"ДА","НЕТ")</f>
        <v>НЕТ</v>
      </c>
      <c r="J4" s="395"/>
      <c r="K4" s="319">
        <f t="shared" ref="K4:K21" si="0">IF(I4="ДА",($C$4+$C$5+$C$6+$C$7+$C$8+$C$9)*J4,0)</f>
        <v>0</v>
      </c>
      <c r="L4" s="266"/>
      <c r="M4" s="467"/>
    </row>
    <row r="5" spans="1:16" ht="11.25" customHeight="1">
      <c r="A5" s="405"/>
      <c r="B5" s="417" t="s">
        <v>391</v>
      </c>
      <c r="C5" s="461"/>
      <c r="D5" s="1237"/>
      <c r="E5" s="1237"/>
      <c r="F5" s="1238"/>
      <c r="G5" s="408"/>
      <c r="H5" s="416" t="s">
        <v>374</v>
      </c>
      <c r="I5" s="414" t="str">
        <f>IF(AND($C$10+$C$11=1,$C$12+$C$13+$C$14+$C$15=0,$C$16=2),"ДА","НЕТ")</f>
        <v>НЕТ</v>
      </c>
      <c r="J5" s="395"/>
      <c r="K5" s="319">
        <f t="shared" si="0"/>
        <v>0</v>
      </c>
      <c r="L5" s="266"/>
      <c r="M5" s="467"/>
    </row>
    <row r="6" spans="1:16" ht="12" customHeight="1">
      <c r="A6" s="405"/>
      <c r="B6" s="417" t="s">
        <v>392</v>
      </c>
      <c r="C6" s="461">
        <v>0</v>
      </c>
      <c r="D6" s="1237"/>
      <c r="E6" s="1237"/>
      <c r="F6" s="1238"/>
      <c r="G6" s="408"/>
      <c r="H6" s="418" t="s">
        <v>376</v>
      </c>
      <c r="I6" s="414" t="str">
        <f>IF(AND($C$10+$C$11=1,$C$12+$C$13+$C$14+$C$15=0,$C$16=3),"ДА","НЕТ")</f>
        <v>НЕТ</v>
      </c>
      <c r="J6" s="322"/>
      <c r="K6" s="319">
        <f t="shared" si="0"/>
        <v>0</v>
      </c>
      <c r="L6" s="266"/>
      <c r="M6" s="467"/>
    </row>
    <row r="7" spans="1:16" ht="11.25" customHeight="1">
      <c r="A7" s="405"/>
      <c r="B7" s="419" t="s">
        <v>546</v>
      </c>
      <c r="C7" s="462">
        <v>0</v>
      </c>
      <c r="D7" s="1237"/>
      <c r="E7" s="1237"/>
      <c r="F7" s="1238"/>
      <c r="G7" s="408"/>
      <c r="H7" s="416" t="s">
        <v>489</v>
      </c>
      <c r="I7" s="414" t="str">
        <f>IF(AND($C$12=1,$C$11+$C$13+$C$14+$C$15=0,$C$16=1),"ДА","НЕТ")</f>
        <v>НЕТ</v>
      </c>
      <c r="J7" s="395"/>
      <c r="K7" s="319">
        <f t="shared" si="0"/>
        <v>0</v>
      </c>
      <c r="L7" s="266"/>
      <c r="M7" s="467"/>
      <c r="N7" s="255"/>
      <c r="O7" s="255"/>
      <c r="P7" s="255"/>
    </row>
    <row r="8" spans="1:16" ht="11.25" customHeight="1">
      <c r="A8" s="405"/>
      <c r="B8" s="417" t="s">
        <v>547</v>
      </c>
      <c r="C8" s="461">
        <v>0</v>
      </c>
      <c r="D8" s="1237"/>
      <c r="E8" s="1237"/>
      <c r="F8" s="1238"/>
      <c r="G8" s="408"/>
      <c r="H8" s="418" t="s">
        <v>486</v>
      </c>
      <c r="I8" s="414" t="str">
        <f>IF(AND($C$12=1,$C$11+$C$13+$C$14+$C$15=0,$C$16=3),"ДА","НЕТ")</f>
        <v>НЕТ</v>
      </c>
      <c r="J8" s="322"/>
      <c r="K8" s="319">
        <f t="shared" si="0"/>
        <v>0</v>
      </c>
      <c r="L8" s="266"/>
      <c r="M8" s="467"/>
    </row>
    <row r="9" spans="1:16" ht="12" customHeight="1" thickBot="1">
      <c r="A9" s="405"/>
      <c r="B9" s="412" t="s">
        <v>548</v>
      </c>
      <c r="C9" s="463">
        <v>0</v>
      </c>
      <c r="D9" s="1235"/>
      <c r="E9" s="1235"/>
      <c r="F9" s="1236"/>
      <c r="G9" s="408"/>
      <c r="H9" s="418" t="s">
        <v>487</v>
      </c>
      <c r="I9" s="414" t="str">
        <f>IF(AND($C$12=1,$C$11+$C$13+$C$14+$C$15=0,$C$16=2),"ДА","НЕТ")</f>
        <v>НЕТ</v>
      </c>
      <c r="J9" s="322"/>
      <c r="K9" s="319">
        <f t="shared" si="0"/>
        <v>0</v>
      </c>
      <c r="L9" s="266"/>
      <c r="M9" s="467"/>
      <c r="N9" s="69"/>
      <c r="O9" s="69"/>
    </row>
    <row r="10" spans="1:16" ht="11.25" customHeight="1">
      <c r="A10" s="405"/>
      <c r="B10" s="407" t="s">
        <v>521</v>
      </c>
      <c r="C10" s="464">
        <v>0</v>
      </c>
      <c r="D10" s="420" t="s">
        <v>287</v>
      </c>
      <c r="E10" s="421" t="s">
        <v>255</v>
      </c>
      <c r="F10" s="1239" t="s">
        <v>596</v>
      </c>
      <c r="G10" s="408"/>
      <c r="H10" s="418" t="s">
        <v>488</v>
      </c>
      <c r="I10" s="414" t="str">
        <f>IF(AND($C$12=1,$C$11+$C$13+$C$14+$C$15=0,$C$16=2),"ДА","НЕТ")</f>
        <v>НЕТ</v>
      </c>
      <c r="J10" s="322"/>
      <c r="K10" s="319">
        <f t="shared" si="0"/>
        <v>0</v>
      </c>
      <c r="L10" s="266"/>
      <c r="M10" s="467"/>
      <c r="N10" s="69"/>
      <c r="O10" s="69"/>
    </row>
    <row r="11" spans="1:16" ht="11.25" customHeight="1">
      <c r="A11" s="405"/>
      <c r="B11" s="419" t="s">
        <v>490</v>
      </c>
      <c r="C11" s="462"/>
      <c r="D11" s="422" t="s">
        <v>287</v>
      </c>
      <c r="E11" s="423" t="s">
        <v>255</v>
      </c>
      <c r="F11" s="1240"/>
      <c r="G11" s="408"/>
      <c r="H11" s="418" t="s">
        <v>494</v>
      </c>
      <c r="I11" s="414" t="str">
        <f>IF(AND($C$12=1,$C$11+$C$13+$C$14+$C$15=0,$C$16=2),"ДА","НЕТ")</f>
        <v>НЕТ</v>
      </c>
      <c r="J11" s="322"/>
      <c r="K11" s="319">
        <f t="shared" si="0"/>
        <v>0</v>
      </c>
      <c r="L11" s="266"/>
      <c r="M11" s="467"/>
      <c r="N11" s="69"/>
      <c r="O11" s="69"/>
    </row>
    <row r="12" spans="1:16" ht="12" customHeight="1">
      <c r="A12" s="405"/>
      <c r="B12" s="417" t="s">
        <v>491</v>
      </c>
      <c r="C12" s="461">
        <v>0</v>
      </c>
      <c r="D12" s="424" t="s">
        <v>287</v>
      </c>
      <c r="E12" s="425" t="s">
        <v>255</v>
      </c>
      <c r="F12" s="1240"/>
      <c r="G12" s="426"/>
      <c r="H12" s="418" t="s">
        <v>673</v>
      </c>
      <c r="I12" s="414" t="str">
        <f>IF(AND($C$13=1,$C$10+$C$11+$C$12+$C$14+$C$15=0,$C$16=2),"ДА","НЕТ")</f>
        <v>НЕТ</v>
      </c>
      <c r="J12" s="322"/>
      <c r="K12" s="319">
        <f t="shared" si="0"/>
        <v>0</v>
      </c>
      <c r="L12" s="266"/>
      <c r="M12" s="467"/>
    </row>
    <row r="13" spans="1:16" ht="11.25" customHeight="1">
      <c r="A13" s="405"/>
      <c r="B13" s="419" t="s">
        <v>522</v>
      </c>
      <c r="C13" s="462">
        <v>1</v>
      </c>
      <c r="D13" s="422" t="s">
        <v>287</v>
      </c>
      <c r="E13" s="423" t="s">
        <v>255</v>
      </c>
      <c r="F13" s="1240"/>
      <c r="G13" s="408"/>
      <c r="H13" s="418" t="s">
        <v>518</v>
      </c>
      <c r="I13" s="414" t="str">
        <f>IF(AND($C$13=1,$C$10+$C$11+$C$12+$C$14+$C$15=0,$C$16=2),"ДА","НЕТ")</f>
        <v>НЕТ</v>
      </c>
      <c r="J13" s="322"/>
      <c r="K13" s="319">
        <f t="shared" si="0"/>
        <v>0</v>
      </c>
      <c r="L13" s="266"/>
      <c r="M13" s="467"/>
    </row>
    <row r="14" spans="1:16" ht="11.25" customHeight="1">
      <c r="A14" s="405"/>
      <c r="B14" s="419" t="s">
        <v>492</v>
      </c>
      <c r="C14" s="462">
        <v>0</v>
      </c>
      <c r="D14" s="424" t="s">
        <v>287</v>
      </c>
      <c r="E14" s="425" t="s">
        <v>255</v>
      </c>
      <c r="F14" s="1240"/>
      <c r="G14" s="408"/>
      <c r="H14" s="418" t="s">
        <v>519</v>
      </c>
      <c r="I14" s="414" t="str">
        <f>IF(AND($C$13=1,$C$10+$C$11+$C$12+$C$14+$C$15=0,$C$16=1),"ДА","НЕТ")</f>
        <v>ДА</v>
      </c>
      <c r="J14" s="322"/>
      <c r="K14" s="319">
        <f t="shared" si="0"/>
        <v>0</v>
      </c>
      <c r="L14" s="266"/>
      <c r="M14" s="467"/>
    </row>
    <row r="15" spans="1:16" ht="12" customHeight="1" thickBot="1">
      <c r="A15" s="405"/>
      <c r="B15" s="412" t="s">
        <v>493</v>
      </c>
      <c r="C15" s="463">
        <v>0</v>
      </c>
      <c r="D15" s="427" t="s">
        <v>287</v>
      </c>
      <c r="E15" s="428" t="s">
        <v>255</v>
      </c>
      <c r="F15" s="1241"/>
      <c r="G15" s="426"/>
      <c r="H15" s="416" t="s">
        <v>379</v>
      </c>
      <c r="I15" s="414" t="str">
        <f>IF(AND($C$14=1,$C$10+$C$11+$C$12+$C$13+$C$15=0,$C$16=2),"ДА","НЕТ")</f>
        <v>НЕТ</v>
      </c>
      <c r="J15" s="325"/>
      <c r="K15" s="319">
        <f t="shared" si="0"/>
        <v>0</v>
      </c>
      <c r="L15" s="266"/>
      <c r="M15" s="467"/>
    </row>
    <row r="16" spans="1:16" ht="12" customHeight="1" thickBot="1">
      <c r="A16" s="405"/>
      <c r="B16" s="429" t="s">
        <v>589</v>
      </c>
      <c r="C16" s="465">
        <v>1</v>
      </c>
      <c r="D16" s="430" t="s">
        <v>619</v>
      </c>
      <c r="E16" s="428" t="s">
        <v>620</v>
      </c>
      <c r="F16" s="715" t="s">
        <v>621</v>
      </c>
      <c r="G16" s="426"/>
      <c r="H16" s="413" t="s">
        <v>381</v>
      </c>
      <c r="I16" s="414" t="str">
        <f>IF(AND($C$14=1,$C$10+$C$11+$C$12+$C$13+$C$15=0,$C$16=1),"ДА","НЕТ")</f>
        <v>НЕТ</v>
      </c>
      <c r="J16" s="325"/>
      <c r="K16" s="319">
        <f t="shared" si="0"/>
        <v>0</v>
      </c>
      <c r="L16" s="266"/>
      <c r="M16" s="467"/>
    </row>
    <row r="17" spans="1:13" ht="12" customHeight="1" thickBot="1">
      <c r="A17" s="405"/>
      <c r="B17" s="429" t="s">
        <v>531</v>
      </c>
      <c r="C17" s="465">
        <v>0</v>
      </c>
      <c r="D17" s="433" t="s">
        <v>287</v>
      </c>
      <c r="E17" s="716" t="s">
        <v>255</v>
      </c>
      <c r="F17" s="470" t="s">
        <v>668</v>
      </c>
      <c r="G17" s="408"/>
      <c r="H17" s="413" t="s">
        <v>382</v>
      </c>
      <c r="I17" s="414" t="str">
        <f>IF(AND($C$14=1,$C$10+$C$11+$C$12+$C$13+$C$15=0,$C$16=3),"ДА","НЕТ")</f>
        <v>НЕТ</v>
      </c>
      <c r="J17" s="325"/>
      <c r="K17" s="319">
        <f t="shared" si="0"/>
        <v>0</v>
      </c>
      <c r="L17" s="266"/>
      <c r="M17" s="467"/>
    </row>
    <row r="18" spans="1:13" ht="12" customHeight="1" thickBot="1">
      <c r="A18" s="405"/>
      <c r="B18" s="440" t="s">
        <v>532</v>
      </c>
      <c r="C18" s="466">
        <v>1</v>
      </c>
      <c r="D18" s="427" t="s">
        <v>287</v>
      </c>
      <c r="E18" s="428" t="s">
        <v>255</v>
      </c>
      <c r="F18" s="468"/>
      <c r="G18" s="408"/>
      <c r="H18" s="413" t="s">
        <v>383</v>
      </c>
      <c r="I18" s="414" t="str">
        <f>IF(AND($C$15=1,$C$10+$C$11+$C$12+$C$13+$C$14=0,$C$16=1),"ДА","НЕТ")</f>
        <v>НЕТ</v>
      </c>
      <c r="J18" s="325"/>
      <c r="K18" s="319">
        <f t="shared" si="0"/>
        <v>0</v>
      </c>
      <c r="L18" s="266"/>
      <c r="M18" s="467"/>
    </row>
    <row r="19" spans="1:13" ht="12" customHeight="1" thickBot="1">
      <c r="A19" s="405"/>
      <c r="B19" s="429" t="s">
        <v>393</v>
      </c>
      <c r="C19" s="465">
        <v>1</v>
      </c>
      <c r="D19" s="432" t="s">
        <v>394</v>
      </c>
      <c r="E19" s="716" t="s">
        <v>395</v>
      </c>
      <c r="F19" s="469"/>
      <c r="G19" s="435"/>
      <c r="H19" s="416" t="s">
        <v>384</v>
      </c>
      <c r="I19" s="414" t="str">
        <f>IF(AND($C$15=1,$C$10+$C$11+$C$12+$C$13+$C$14=0,$C$16=1),"ДА","НЕТ")</f>
        <v>НЕТ</v>
      </c>
      <c r="J19" s="325"/>
      <c r="K19" s="319">
        <f t="shared" si="0"/>
        <v>0</v>
      </c>
      <c r="L19" s="266"/>
      <c r="M19" s="467"/>
    </row>
    <row r="20" spans="1:13" ht="12" customHeight="1" thickBot="1">
      <c r="A20" s="405"/>
      <c r="B20" s="429" t="s">
        <v>722</v>
      </c>
      <c r="C20" s="466">
        <v>0</v>
      </c>
      <c r="D20" s="427" t="s">
        <v>287</v>
      </c>
      <c r="E20" s="428" t="s">
        <v>255</v>
      </c>
      <c r="F20" s="468"/>
      <c r="G20" s="435"/>
      <c r="H20" s="413" t="s">
        <v>388</v>
      </c>
      <c r="I20" s="414" t="str">
        <f>IF(AND($C$15=1,$C$10+$C$11+$C$12+$C$13+$C$14=0,$C$16=2),"ДА","НЕТ")</f>
        <v>НЕТ</v>
      </c>
      <c r="J20" s="325"/>
      <c r="K20" s="319">
        <f t="shared" si="0"/>
        <v>0</v>
      </c>
      <c r="L20" s="266"/>
      <c r="M20" s="467"/>
    </row>
    <row r="21" spans="1:13" ht="11.25" customHeight="1" thickBot="1">
      <c r="A21" s="405"/>
      <c r="B21" s="429" t="s">
        <v>358</v>
      </c>
      <c r="C21" s="465">
        <v>2</v>
      </c>
      <c r="D21" s="433" t="s">
        <v>622</v>
      </c>
      <c r="E21" s="716" t="s">
        <v>623</v>
      </c>
      <c r="F21" s="436" t="s">
        <v>624</v>
      </c>
      <c r="G21" s="408"/>
      <c r="H21" s="437" t="s">
        <v>389</v>
      </c>
      <c r="I21" s="438" t="str">
        <f>IF(AND($C$15=1,$C$10+$C$11+$C$12+$C$13+$C$14=0,$C$16=2),"ДА","НЕТ")</f>
        <v>НЕТ</v>
      </c>
      <c r="J21" s="332"/>
      <c r="K21" s="475">
        <f t="shared" si="0"/>
        <v>0</v>
      </c>
      <c r="L21" s="266"/>
      <c r="M21" s="467"/>
    </row>
    <row r="22" spans="1:13" ht="11.25" customHeight="1">
      <c r="A22" s="405"/>
      <c r="B22" s="407" t="s">
        <v>361</v>
      </c>
      <c r="C22" s="464">
        <v>0</v>
      </c>
      <c r="D22" s="420" t="s">
        <v>287</v>
      </c>
      <c r="E22" s="421" t="s">
        <v>255</v>
      </c>
      <c r="F22" s="1239" t="s">
        <v>597</v>
      </c>
      <c r="G22" s="408"/>
      <c r="H22" s="439"/>
      <c r="I22" s="439"/>
      <c r="J22" s="439"/>
      <c r="K22" s="439"/>
      <c r="L22" s="266"/>
      <c r="M22" s="467"/>
    </row>
    <row r="23" spans="1:13" ht="11.25" customHeight="1">
      <c r="A23" s="405"/>
      <c r="B23" s="417" t="s">
        <v>362</v>
      </c>
      <c r="C23" s="461">
        <v>0</v>
      </c>
      <c r="D23" s="424" t="s">
        <v>287</v>
      </c>
      <c r="E23" s="425" t="s">
        <v>255</v>
      </c>
      <c r="F23" s="1240"/>
      <c r="G23" s="408"/>
      <c r="H23" s="439"/>
      <c r="I23" s="439"/>
      <c r="J23" s="439"/>
      <c r="K23" s="439"/>
      <c r="L23" s="266"/>
      <c r="M23" s="467"/>
    </row>
    <row r="24" spans="1:13" ht="12" customHeight="1">
      <c r="A24" s="405"/>
      <c r="B24" s="417" t="s">
        <v>466</v>
      </c>
      <c r="C24" s="461">
        <v>0</v>
      </c>
      <c r="D24" s="424" t="s">
        <v>287</v>
      </c>
      <c r="E24" s="425" t="s">
        <v>255</v>
      </c>
      <c r="F24" s="1240"/>
      <c r="G24" s="408"/>
      <c r="H24" s="441"/>
      <c r="I24" s="441"/>
      <c r="J24" s="439"/>
      <c r="K24" s="439"/>
      <c r="L24" s="250"/>
      <c r="M24" s="250"/>
    </row>
    <row r="25" spans="1:13" ht="12" customHeight="1" thickBot="1">
      <c r="A25" s="405"/>
      <c r="B25" s="514" t="s">
        <v>523</v>
      </c>
      <c r="C25" s="513">
        <v>0</v>
      </c>
      <c r="D25" s="626" t="s">
        <v>287</v>
      </c>
      <c r="E25" s="516" t="s">
        <v>255</v>
      </c>
      <c r="F25" s="1240"/>
      <c r="G25" s="714"/>
      <c r="H25" s="441"/>
      <c r="I25" s="441"/>
      <c r="J25" s="439"/>
      <c r="K25" s="439"/>
      <c r="L25" s="250"/>
      <c r="M25" s="250"/>
    </row>
    <row r="26" spans="1:13" ht="12" customHeight="1">
      <c r="A26" s="405"/>
      <c r="B26" s="407" t="s">
        <v>147</v>
      </c>
      <c r="C26" s="464">
        <v>0</v>
      </c>
      <c r="D26" s="1242" t="s">
        <v>686</v>
      </c>
      <c r="E26" s="1243"/>
      <c r="F26" s="1244"/>
      <c r="G26" s="714"/>
      <c r="H26" s="441"/>
      <c r="I26" s="441"/>
      <c r="J26" s="439"/>
      <c r="K26" s="439"/>
      <c r="L26" s="250"/>
      <c r="M26" s="250"/>
    </row>
    <row r="27" spans="1:13" ht="12" customHeight="1">
      <c r="A27" s="405"/>
      <c r="B27" s="417" t="s">
        <v>146</v>
      </c>
      <c r="C27" s="461">
        <v>0</v>
      </c>
      <c r="D27" s="1245" t="s">
        <v>687</v>
      </c>
      <c r="E27" s="1246"/>
      <c r="F27" s="1247"/>
      <c r="G27" s="714"/>
      <c r="H27" s="441"/>
      <c r="I27" s="441"/>
      <c r="J27" s="439"/>
      <c r="K27" s="439"/>
      <c r="L27" s="250"/>
      <c r="M27" s="250"/>
    </row>
    <row r="28" spans="1:13" ht="12" customHeight="1" thickBot="1">
      <c r="A28" s="405"/>
      <c r="B28" s="412" t="s">
        <v>143</v>
      </c>
      <c r="C28" s="463">
        <v>0</v>
      </c>
      <c r="D28" s="1248" t="s">
        <v>688</v>
      </c>
      <c r="E28" s="1249"/>
      <c r="F28" s="1250"/>
      <c r="G28" s="408"/>
      <c r="H28" s="443"/>
      <c r="I28" s="439"/>
      <c r="J28" s="439"/>
      <c r="K28" s="439"/>
    </row>
    <row r="29" spans="1:13" ht="12.75" customHeight="1" thickBot="1">
      <c r="A29" s="405"/>
      <c r="B29" s="1228"/>
      <c r="C29" s="1228"/>
      <c r="D29" s="1228"/>
      <c r="E29" s="1228"/>
      <c r="F29" s="408"/>
      <c r="G29" s="448"/>
      <c r="H29" s="443"/>
      <c r="I29" s="439"/>
      <c r="J29" s="439"/>
      <c r="K29" s="439"/>
    </row>
    <row r="30" spans="1:13" ht="12" customHeight="1">
      <c r="A30" s="405"/>
      <c r="B30" s="444" t="s">
        <v>5</v>
      </c>
      <c r="C30" s="445" t="s">
        <v>0</v>
      </c>
      <c r="D30" s="446" t="s">
        <v>4</v>
      </c>
      <c r="E30" s="447" t="s">
        <v>8</v>
      </c>
      <c r="F30" s="448"/>
      <c r="G30" s="345"/>
      <c r="H30" s="408"/>
      <c r="I30" s="408"/>
      <c r="J30" s="439"/>
      <c r="K30" s="439"/>
    </row>
    <row r="31" spans="1:13">
      <c r="A31" s="405"/>
      <c r="B31" s="449" t="s">
        <v>605</v>
      </c>
      <c r="C31" s="342">
        <f>IF(C17=0,C24*(C4+C5+C6+C7+C8+C9),0)</f>
        <v>0</v>
      </c>
      <c r="D31" s="396">
        <v>1</v>
      </c>
      <c r="E31" s="344">
        <f>C31*D31</f>
        <v>0</v>
      </c>
      <c r="F31" s="345"/>
      <c r="G31" s="345"/>
      <c r="H31" s="439"/>
      <c r="I31" s="439"/>
      <c r="J31" s="439"/>
      <c r="K31" s="439"/>
    </row>
    <row r="32" spans="1:13">
      <c r="A32" s="405"/>
      <c r="B32" s="449" t="s">
        <v>563</v>
      </c>
      <c r="C32" s="342">
        <f>IF(C17=0,C25*(C4+C5+C6+C7+C8+C9),0)</f>
        <v>0</v>
      </c>
      <c r="D32" s="396"/>
      <c r="E32" s="344">
        <f t="shared" ref="E32:E93" si="1">C32*D32</f>
        <v>0</v>
      </c>
      <c r="F32" s="345"/>
      <c r="G32" s="345"/>
      <c r="H32" s="450"/>
      <c r="I32" s="408"/>
      <c r="J32" s="439"/>
      <c r="K32" s="439"/>
    </row>
    <row r="33" spans="1:11">
      <c r="A33" s="405"/>
      <c r="B33" s="449" t="s">
        <v>606</v>
      </c>
      <c r="C33" s="342">
        <f>IF(C17=1,C24*C17*(C4+C5+C6+C7+C8+C9),0)</f>
        <v>0</v>
      </c>
      <c r="D33" s="396"/>
      <c r="E33" s="344">
        <f t="shared" si="1"/>
        <v>0</v>
      </c>
      <c r="F33" s="345"/>
      <c r="G33" s="345"/>
      <c r="H33" s="450"/>
      <c r="I33" s="408"/>
      <c r="J33" s="439"/>
      <c r="K33" s="439"/>
    </row>
    <row r="34" spans="1:11">
      <c r="A34" s="405"/>
      <c r="B34" s="449" t="s">
        <v>117</v>
      </c>
      <c r="C34" s="342">
        <f>IF(C17=0,(C22+C23)*2*(C4+C5+C6+C7+C8+C9),0)</f>
        <v>0</v>
      </c>
      <c r="D34" s="396"/>
      <c r="E34" s="344">
        <f t="shared" si="1"/>
        <v>0</v>
      </c>
      <c r="F34" s="345"/>
      <c r="G34" s="345"/>
      <c r="H34" s="450"/>
      <c r="I34" s="408"/>
      <c r="J34" s="439"/>
      <c r="K34" s="439"/>
    </row>
    <row r="35" spans="1:11">
      <c r="A35" s="405"/>
      <c r="B35" s="341" t="s">
        <v>723</v>
      </c>
      <c r="C35" s="342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396"/>
      <c r="E35" s="344">
        <f t="shared" si="1"/>
        <v>0</v>
      </c>
      <c r="F35" s="345"/>
      <c r="G35" s="345"/>
      <c r="H35" s="450"/>
      <c r="I35" s="771"/>
      <c r="J35" s="439"/>
      <c r="K35" s="439"/>
    </row>
    <row r="36" spans="1:11">
      <c r="A36" s="405"/>
      <c r="B36" s="451" t="s">
        <v>479</v>
      </c>
      <c r="C36" s="347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397"/>
      <c r="E36" s="344">
        <f t="shared" si="1"/>
        <v>0</v>
      </c>
      <c r="F36" s="345"/>
      <c r="G36" s="345"/>
      <c r="H36" s="450"/>
      <c r="I36" s="408"/>
      <c r="J36" s="439"/>
      <c r="K36" s="439"/>
    </row>
    <row r="37" spans="1:11">
      <c r="A37" s="405"/>
      <c r="B37" s="451" t="s">
        <v>447</v>
      </c>
      <c r="C37" s="347">
        <f>IF(AND(C21=1,C19=0),(C4+C5+C6+C7+C8+C9)*2,0)</f>
        <v>0</v>
      </c>
      <c r="D37" s="353"/>
      <c r="E37" s="344">
        <f t="shared" si="1"/>
        <v>0</v>
      </c>
      <c r="F37" s="345"/>
      <c r="G37" s="345"/>
      <c r="H37" s="450"/>
      <c r="I37" s="713"/>
      <c r="J37" s="439"/>
      <c r="K37" s="439"/>
    </row>
    <row r="38" spans="1:11">
      <c r="A38" s="405"/>
      <c r="B38" s="451" t="s">
        <v>447</v>
      </c>
      <c r="C38" s="347">
        <f>IF(AND(C21=1,C19=1,C18=1),(C4+C5+C6+C7+C8+C9),0)</f>
        <v>0</v>
      </c>
      <c r="D38" s="353"/>
      <c r="E38" s="344">
        <f>C38*D38</f>
        <v>0</v>
      </c>
      <c r="F38" s="345"/>
      <c r="G38" s="345"/>
      <c r="H38" s="450"/>
      <c r="I38" s="408"/>
      <c r="J38" s="439"/>
      <c r="K38" s="439"/>
    </row>
    <row r="39" spans="1:11">
      <c r="A39" s="405"/>
      <c r="B39" s="451" t="s">
        <v>549</v>
      </c>
      <c r="C39" s="347">
        <f>IF(AND(C21=1,C19=1,C18=1),(C5+C6+C7+C8+C9+C4),0)</f>
        <v>0</v>
      </c>
      <c r="D39" s="353"/>
      <c r="E39" s="344">
        <f t="shared" si="1"/>
        <v>0</v>
      </c>
      <c r="F39" s="345"/>
      <c r="G39" s="345"/>
      <c r="H39" s="450"/>
      <c r="I39" s="408"/>
      <c r="J39" s="439"/>
      <c r="K39" s="439"/>
    </row>
    <row r="40" spans="1:11">
      <c r="A40" s="405"/>
      <c r="B40" s="451" t="s">
        <v>449</v>
      </c>
      <c r="C40" s="347">
        <f>IF(AND(C19=1,C21=2,C18=1),(C4+C5+C6+C7+C8+C9),0)</f>
        <v>1</v>
      </c>
      <c r="D40" s="353"/>
      <c r="E40" s="344">
        <f t="shared" si="1"/>
        <v>0</v>
      </c>
      <c r="F40" s="345"/>
      <c r="G40" s="345"/>
      <c r="H40" s="450"/>
      <c r="I40" s="408"/>
      <c r="J40" s="439"/>
      <c r="K40" s="439"/>
    </row>
    <row r="41" spans="1:11">
      <c r="A41" s="405"/>
      <c r="B41" s="451" t="s">
        <v>550</v>
      </c>
      <c r="C41" s="347">
        <f>IF(C21=3,(C9+C4+C5+C6+C7+C8)*2,0)</f>
        <v>0</v>
      </c>
      <c r="D41" s="353"/>
      <c r="E41" s="344">
        <f t="shared" si="1"/>
        <v>0</v>
      </c>
      <c r="F41" s="345"/>
      <c r="G41" s="345"/>
      <c r="H41" s="450"/>
      <c r="I41" s="408"/>
      <c r="J41" s="439"/>
      <c r="K41" s="439"/>
    </row>
    <row r="42" spans="1:11">
      <c r="A42" s="405"/>
      <c r="B42" s="451" t="s">
        <v>448</v>
      </c>
      <c r="C42" s="347">
        <f>IF(AND(C21=2,C19=0),(C4+C5+C6+C7+C8+C9)*2,0)</f>
        <v>0</v>
      </c>
      <c r="D42" s="353"/>
      <c r="E42" s="344">
        <f t="shared" si="1"/>
        <v>0</v>
      </c>
      <c r="F42" s="345"/>
      <c r="G42" s="345"/>
      <c r="H42" s="450"/>
      <c r="I42" s="713"/>
      <c r="J42" s="439"/>
      <c r="K42" s="439"/>
    </row>
    <row r="43" spans="1:11">
      <c r="A43" s="405"/>
      <c r="B43" s="451" t="s">
        <v>448</v>
      </c>
      <c r="C43" s="347">
        <f>IF(AND(C21=2,C19=1,C18=1),(C5+C6+C7+C8+C9+C4),0)</f>
        <v>1</v>
      </c>
      <c r="D43" s="353"/>
      <c r="E43" s="344">
        <f>C43*D43</f>
        <v>0</v>
      </c>
      <c r="F43" s="345"/>
      <c r="G43" s="345"/>
      <c r="H43" s="450"/>
      <c r="I43" s="408"/>
      <c r="J43" s="439"/>
      <c r="K43" s="439"/>
    </row>
    <row r="44" spans="1:11">
      <c r="A44" s="405"/>
      <c r="B44" s="451" t="s">
        <v>607</v>
      </c>
      <c r="C44" s="347">
        <f>IF(AND(C21=1,C18=0),(C4+C5+C6)*2,0)</f>
        <v>0</v>
      </c>
      <c r="D44" s="353"/>
      <c r="E44" s="344">
        <f t="shared" si="1"/>
        <v>0</v>
      </c>
      <c r="F44" s="345"/>
      <c r="G44" s="345"/>
      <c r="H44" s="450"/>
      <c r="I44" s="408"/>
      <c r="J44" s="439"/>
      <c r="K44" s="439"/>
    </row>
    <row r="45" spans="1:11">
      <c r="A45" s="405"/>
      <c r="B45" s="451" t="s">
        <v>607</v>
      </c>
      <c r="C45" s="347">
        <f>IF(AND(C21=1,C18=1),C5+C6+C4,0)</f>
        <v>0</v>
      </c>
      <c r="D45" s="353"/>
      <c r="E45" s="344">
        <f t="shared" si="1"/>
        <v>0</v>
      </c>
      <c r="F45" s="345"/>
      <c r="G45" s="345"/>
      <c r="H45" s="439"/>
      <c r="I45" s="439"/>
      <c r="J45" s="439"/>
      <c r="K45" s="439"/>
    </row>
    <row r="46" spans="1:11">
      <c r="A46" s="405"/>
      <c r="B46" s="451" t="s">
        <v>608</v>
      </c>
      <c r="C46" s="347">
        <f>IF(AND(C21=1,C18=1),C6+C4+C5,0)</f>
        <v>0</v>
      </c>
      <c r="D46" s="353"/>
      <c r="E46" s="344">
        <f t="shared" si="1"/>
        <v>0</v>
      </c>
      <c r="F46" s="345"/>
      <c r="G46" s="345"/>
      <c r="H46" s="439"/>
      <c r="I46" s="439"/>
      <c r="J46" s="439"/>
      <c r="K46" s="439"/>
    </row>
    <row r="47" spans="1:11">
      <c r="A47" s="405"/>
      <c r="B47" s="449" t="s">
        <v>609</v>
      </c>
      <c r="C47" s="350">
        <f>IF(AND(C21=1,C18=0),(C7+C8+C9)*2,0)</f>
        <v>0</v>
      </c>
      <c r="D47" s="398"/>
      <c r="E47" s="344">
        <f t="shared" si="1"/>
        <v>0</v>
      </c>
      <c r="F47" s="345"/>
      <c r="G47" s="345"/>
      <c r="H47" s="439"/>
      <c r="I47" s="439"/>
      <c r="J47" s="439"/>
      <c r="K47" s="439"/>
    </row>
    <row r="48" spans="1:11">
      <c r="A48" s="405"/>
      <c r="B48" s="449" t="s">
        <v>610</v>
      </c>
      <c r="C48" s="350">
        <f>IF(AND(C21=1,C21=2),C8+C9+C7,0)</f>
        <v>0</v>
      </c>
      <c r="D48" s="398"/>
      <c r="E48" s="344">
        <f t="shared" si="1"/>
        <v>0</v>
      </c>
      <c r="F48" s="345"/>
      <c r="G48" s="345"/>
      <c r="H48" s="439"/>
      <c r="I48" s="439"/>
      <c r="J48" s="439"/>
      <c r="K48" s="439"/>
    </row>
    <row r="49" spans="1:11">
      <c r="A49" s="405"/>
      <c r="B49" s="449" t="s">
        <v>611</v>
      </c>
      <c r="C49" s="350">
        <f>IF(AND(C21=1,C18=1),C9+C7+C8,0)</f>
        <v>0</v>
      </c>
      <c r="D49" s="398"/>
      <c r="E49" s="344">
        <f t="shared" si="1"/>
        <v>0</v>
      </c>
      <c r="F49" s="345"/>
      <c r="G49" s="345"/>
      <c r="H49" s="439"/>
      <c r="I49" s="439"/>
      <c r="J49" s="439"/>
      <c r="K49" s="439"/>
    </row>
    <row r="50" spans="1:11">
      <c r="A50" s="405"/>
      <c r="B50" s="449" t="s">
        <v>611</v>
      </c>
      <c r="C50" s="350">
        <f>IF(AND(C21=2,C18=1),C4+C5+C6,0)</f>
        <v>1</v>
      </c>
      <c r="D50" s="398"/>
      <c r="E50" s="344">
        <f t="shared" si="1"/>
        <v>0</v>
      </c>
      <c r="F50" s="345"/>
      <c r="G50" s="345"/>
      <c r="H50" s="439"/>
      <c r="I50" s="439"/>
      <c r="J50" s="439"/>
      <c r="K50" s="439"/>
    </row>
    <row r="51" spans="1:11">
      <c r="A51" s="405"/>
      <c r="B51" s="449" t="s">
        <v>609</v>
      </c>
      <c r="C51" s="350">
        <f>IF(AND(C21=2,C18=1),C4+C5+C6,0)</f>
        <v>1</v>
      </c>
      <c r="D51" s="398"/>
      <c r="E51" s="344">
        <f t="shared" si="1"/>
        <v>0</v>
      </c>
      <c r="F51" s="345"/>
      <c r="G51" s="345"/>
      <c r="H51" s="439"/>
      <c r="I51" s="439"/>
      <c r="J51" s="439"/>
      <c r="K51" s="439"/>
    </row>
    <row r="52" spans="1:11">
      <c r="A52" s="405"/>
      <c r="B52" s="449" t="s">
        <v>609</v>
      </c>
      <c r="C52" s="350">
        <f>IF(AND(C21=2,C18=0),(C4+C5+C6)*2,0)</f>
        <v>0</v>
      </c>
      <c r="D52" s="398"/>
      <c r="E52" s="344">
        <f t="shared" si="1"/>
        <v>0</v>
      </c>
      <c r="F52" s="345"/>
      <c r="G52" s="345"/>
      <c r="H52" s="439"/>
      <c r="I52" s="439"/>
      <c r="J52" s="439"/>
      <c r="K52" s="439"/>
    </row>
    <row r="53" spans="1:11">
      <c r="A53" s="405"/>
      <c r="B53" s="451" t="s">
        <v>612</v>
      </c>
      <c r="C53" s="350">
        <f>IF(AND(C21=2,C18=1),(C7+C8+C9),0)</f>
        <v>0</v>
      </c>
      <c r="D53" s="398"/>
      <c r="E53" s="344">
        <f t="shared" si="1"/>
        <v>0</v>
      </c>
      <c r="F53" s="345"/>
      <c r="G53" s="345"/>
      <c r="H53" s="439"/>
      <c r="I53" s="439"/>
      <c r="J53" s="439"/>
      <c r="K53" s="439"/>
    </row>
    <row r="54" spans="1:11">
      <c r="A54" s="405"/>
      <c r="B54" s="451" t="s">
        <v>613</v>
      </c>
      <c r="C54" s="350">
        <f>IF(AND(C21=2,C18=1),(C7+C8+C9),0)</f>
        <v>0</v>
      </c>
      <c r="D54" s="398"/>
      <c r="E54" s="344">
        <f t="shared" si="1"/>
        <v>0</v>
      </c>
      <c r="F54" s="345"/>
      <c r="G54" s="345"/>
      <c r="H54" s="439"/>
      <c r="I54" s="439"/>
      <c r="J54" s="439"/>
      <c r="K54" s="439"/>
    </row>
    <row r="55" spans="1:11">
      <c r="A55" s="405"/>
      <c r="B55" s="451" t="s">
        <v>614</v>
      </c>
      <c r="C55" s="347">
        <f>IF(AND(C21=2,C18=0),(C7+C8+C9)*2,0)</f>
        <v>0</v>
      </c>
      <c r="D55" s="353"/>
      <c r="E55" s="344">
        <f t="shared" si="1"/>
        <v>0</v>
      </c>
      <c r="F55" s="345"/>
      <c r="G55" s="345"/>
      <c r="H55" s="439"/>
      <c r="I55" s="439"/>
      <c r="J55" s="439"/>
      <c r="K55" s="439"/>
    </row>
    <row r="56" spans="1:11">
      <c r="A56" s="405"/>
      <c r="B56" s="451" t="s">
        <v>615</v>
      </c>
      <c r="C56" s="347">
        <f>IF(AND(C21=3,C18=0),(C4+C5+C6)*2,0)</f>
        <v>0</v>
      </c>
      <c r="D56" s="353"/>
      <c r="E56" s="344">
        <f t="shared" si="1"/>
        <v>0</v>
      </c>
      <c r="F56" s="345"/>
      <c r="G56" s="345"/>
      <c r="H56" s="439"/>
      <c r="I56" s="439"/>
      <c r="J56" s="439"/>
      <c r="K56" s="439"/>
    </row>
    <row r="57" spans="1:11">
      <c r="A57" s="405"/>
      <c r="B57" s="449" t="s">
        <v>474</v>
      </c>
      <c r="C57" s="342">
        <f>(C5+C8+C25)*C2</f>
        <v>0</v>
      </c>
      <c r="D57" s="396"/>
      <c r="E57" s="344">
        <f t="shared" si="1"/>
        <v>0</v>
      </c>
      <c r="F57" s="345"/>
      <c r="G57" s="345"/>
      <c r="H57" s="439"/>
      <c r="I57" s="439"/>
      <c r="J57" s="439"/>
      <c r="K57" s="439"/>
    </row>
    <row r="58" spans="1:11">
      <c r="A58" s="405"/>
      <c r="B58" s="451" t="s">
        <v>363</v>
      </c>
      <c r="C58" s="347">
        <f>C23*2*C2</f>
        <v>0</v>
      </c>
      <c r="D58" s="353"/>
      <c r="E58" s="344">
        <f t="shared" si="1"/>
        <v>0</v>
      </c>
      <c r="F58" s="345"/>
      <c r="G58" s="345"/>
      <c r="H58" s="439"/>
      <c r="I58" s="439"/>
      <c r="J58" s="439"/>
      <c r="K58" s="439"/>
    </row>
    <row r="59" spans="1:11">
      <c r="A59" s="405"/>
      <c r="B59" s="451" t="s">
        <v>118</v>
      </c>
      <c r="C59" s="347">
        <f>C2*(C22+C24)</f>
        <v>0</v>
      </c>
      <c r="D59" s="353"/>
      <c r="E59" s="344">
        <f t="shared" si="1"/>
        <v>0</v>
      </c>
      <c r="F59" s="345"/>
      <c r="G59" s="345"/>
      <c r="H59" s="439"/>
      <c r="I59" s="439"/>
      <c r="J59" s="439"/>
      <c r="K59" s="439"/>
    </row>
    <row r="60" spans="1:11">
      <c r="A60" s="405"/>
      <c r="B60" s="451" t="s">
        <v>480</v>
      </c>
      <c r="C60" s="347">
        <f>(C4+C6+C7+C9)*C2</f>
        <v>0</v>
      </c>
      <c r="D60" s="353"/>
      <c r="E60" s="344">
        <f t="shared" si="1"/>
        <v>0</v>
      </c>
      <c r="F60" s="345"/>
      <c r="G60" s="345"/>
      <c r="H60" s="439"/>
      <c r="I60" s="439"/>
      <c r="J60" s="439"/>
      <c r="K60" s="439"/>
    </row>
    <row r="61" spans="1:11">
      <c r="A61" s="405"/>
      <c r="B61" s="451" t="s">
        <v>616</v>
      </c>
      <c r="C61" s="347">
        <f>C24*C2*(C4+C5+C6+C7+C8+C9)</f>
        <v>0</v>
      </c>
      <c r="D61" s="353"/>
      <c r="E61" s="344">
        <f t="shared" si="1"/>
        <v>0</v>
      </c>
      <c r="F61" s="345"/>
      <c r="G61" s="345"/>
      <c r="H61" s="439"/>
      <c r="I61" s="439"/>
      <c r="J61" s="439"/>
      <c r="K61" s="439"/>
    </row>
    <row r="62" spans="1:11">
      <c r="A62" s="405"/>
      <c r="B62" s="451" t="s">
        <v>467</v>
      </c>
      <c r="C62" s="347">
        <f>C25*C2*(C4+C5+C6+C7+C8+C9)</f>
        <v>0</v>
      </c>
      <c r="D62" s="353"/>
      <c r="E62" s="344">
        <f t="shared" si="1"/>
        <v>0</v>
      </c>
      <c r="F62" s="345"/>
      <c r="G62" s="345"/>
      <c r="H62" s="439"/>
      <c r="I62" s="439"/>
      <c r="J62" s="439"/>
      <c r="K62" s="439"/>
    </row>
    <row r="63" spans="1:11">
      <c r="A63" s="405"/>
      <c r="B63" s="451" t="s">
        <v>364</v>
      </c>
      <c r="C63" s="347">
        <f>C22*C2*(C4+C5+C6+C7+C8+C9)</f>
        <v>0</v>
      </c>
      <c r="D63" s="353"/>
      <c r="E63" s="344">
        <f t="shared" si="1"/>
        <v>0</v>
      </c>
      <c r="F63" s="345"/>
      <c r="G63" s="345"/>
      <c r="H63" s="439"/>
      <c r="I63" s="439"/>
      <c r="J63" s="439"/>
      <c r="K63" s="439"/>
    </row>
    <row r="64" spans="1:11">
      <c r="A64" s="405"/>
      <c r="B64" s="451" t="s">
        <v>365</v>
      </c>
      <c r="C64" s="347">
        <f>C23*C2*(C4+C5+C6+C7+C8+C9)</f>
        <v>0</v>
      </c>
      <c r="D64" s="353"/>
      <c r="E64" s="344">
        <f t="shared" si="1"/>
        <v>0</v>
      </c>
      <c r="F64" s="345"/>
      <c r="G64" s="345"/>
      <c r="H64" s="439"/>
      <c r="I64" s="439"/>
      <c r="J64" s="439"/>
      <c r="K64" s="439"/>
    </row>
    <row r="65" spans="1:11">
      <c r="A65" s="405"/>
      <c r="B65" s="449" t="s">
        <v>450</v>
      </c>
      <c r="C65" s="342">
        <f>C2*(C6+C9)</f>
        <v>0</v>
      </c>
      <c r="D65" s="396"/>
      <c r="E65" s="344">
        <f t="shared" si="1"/>
        <v>0</v>
      </c>
      <c r="F65" s="345"/>
      <c r="G65" s="345"/>
      <c r="H65" s="439"/>
      <c r="I65" s="439"/>
      <c r="J65" s="439"/>
      <c r="K65" s="439"/>
    </row>
    <row r="66" spans="1:11">
      <c r="A66" s="405"/>
      <c r="B66" s="449" t="s">
        <v>525</v>
      </c>
      <c r="C66" s="342">
        <f>C2*(C7+C4)</f>
        <v>0</v>
      </c>
      <c r="D66" s="396"/>
      <c r="E66" s="344">
        <f t="shared" si="1"/>
        <v>0</v>
      </c>
      <c r="F66" s="345"/>
      <c r="G66" s="345"/>
      <c r="H66" s="439"/>
      <c r="I66" s="439"/>
      <c r="J66" s="439"/>
      <c r="K66" s="439"/>
    </row>
    <row r="67" spans="1:11">
      <c r="A67" s="405"/>
      <c r="B67" s="449" t="s">
        <v>451</v>
      </c>
      <c r="C67" s="342">
        <f>C2*(C5+C8)</f>
        <v>0</v>
      </c>
      <c r="D67" s="396"/>
      <c r="E67" s="344">
        <f t="shared" si="1"/>
        <v>0</v>
      </c>
      <c r="F67" s="345"/>
      <c r="G67" s="345"/>
      <c r="H67" s="439"/>
      <c r="I67" s="439"/>
      <c r="J67" s="439"/>
      <c r="K67" s="439"/>
    </row>
    <row r="68" spans="1:11">
      <c r="A68" s="405"/>
      <c r="B68" s="449" t="s">
        <v>617</v>
      </c>
      <c r="C68" s="342">
        <f>(C7+C8+C9)*C2</f>
        <v>0</v>
      </c>
      <c r="D68" s="396"/>
      <c r="E68" s="344">
        <f t="shared" si="1"/>
        <v>0</v>
      </c>
      <c r="F68" s="345"/>
      <c r="G68" s="345"/>
      <c r="H68" s="439"/>
      <c r="I68" s="439"/>
      <c r="J68" s="439"/>
      <c r="K68" s="439"/>
    </row>
    <row r="69" spans="1:11">
      <c r="A69" s="405"/>
      <c r="B69" s="451" t="s">
        <v>618</v>
      </c>
      <c r="C69" s="347">
        <f>IF(C21=2,C18,0)</f>
        <v>1</v>
      </c>
      <c r="D69" s="353"/>
      <c r="E69" s="344">
        <f t="shared" si="1"/>
        <v>0</v>
      </c>
      <c r="F69" s="345"/>
      <c r="G69" s="345"/>
      <c r="H69" s="439"/>
      <c r="I69" s="439"/>
      <c r="J69" s="439"/>
      <c r="K69" s="439"/>
    </row>
    <row r="70" spans="1:11">
      <c r="A70" s="405"/>
      <c r="B70" s="451" t="s">
        <v>471</v>
      </c>
      <c r="C70" s="347">
        <f>C6+C9</f>
        <v>0</v>
      </c>
      <c r="D70" s="353"/>
      <c r="E70" s="344">
        <f t="shared" si="1"/>
        <v>0</v>
      </c>
      <c r="F70" s="345"/>
      <c r="G70" s="345"/>
      <c r="H70" s="439"/>
      <c r="I70" s="439"/>
      <c r="J70" s="439"/>
      <c r="K70" s="439"/>
    </row>
    <row r="71" spans="1:11">
      <c r="A71" s="405"/>
      <c r="B71" s="451" t="s">
        <v>367</v>
      </c>
      <c r="C71" s="347">
        <f>C5+C8</f>
        <v>0</v>
      </c>
      <c r="D71" s="353"/>
      <c r="E71" s="344">
        <f t="shared" si="1"/>
        <v>0</v>
      </c>
      <c r="F71" s="345"/>
      <c r="G71" s="345"/>
      <c r="H71" s="439"/>
      <c r="I71" s="439"/>
      <c r="J71" s="439"/>
      <c r="K71" s="439"/>
    </row>
    <row r="72" spans="1:11">
      <c r="A72" s="405"/>
      <c r="B72" s="451" t="s">
        <v>368</v>
      </c>
      <c r="C72" s="347">
        <f>(C7+C8+C9)*4</f>
        <v>0</v>
      </c>
      <c r="D72" s="353"/>
      <c r="E72" s="344">
        <f t="shared" si="1"/>
        <v>0</v>
      </c>
      <c r="F72" s="345"/>
      <c r="G72" s="345"/>
      <c r="H72" s="439"/>
      <c r="I72" s="439"/>
      <c r="J72" s="439"/>
      <c r="K72" s="439"/>
    </row>
    <row r="73" spans="1:11">
      <c r="A73" s="405"/>
      <c r="B73" s="451" t="s">
        <v>369</v>
      </c>
      <c r="C73" s="347">
        <f>C17*((C3*2)+C2+0.3)</f>
        <v>0</v>
      </c>
      <c r="D73" s="353"/>
      <c r="E73" s="344">
        <f t="shared" si="1"/>
        <v>0</v>
      </c>
      <c r="F73" s="345"/>
      <c r="G73" s="345"/>
      <c r="H73" s="439"/>
      <c r="I73" s="439"/>
      <c r="J73" s="439"/>
      <c r="K73" s="439"/>
    </row>
    <row r="74" spans="1:11">
      <c r="A74" s="405"/>
      <c r="B74" s="451" t="s">
        <v>526</v>
      </c>
      <c r="C74" s="347">
        <f>IF(C19=0,C17*2,0)</f>
        <v>0</v>
      </c>
      <c r="D74" s="353"/>
      <c r="E74" s="344">
        <f t="shared" si="1"/>
        <v>0</v>
      </c>
      <c r="F74" s="345"/>
      <c r="G74" s="345"/>
      <c r="H74" s="439"/>
      <c r="I74" s="439"/>
      <c r="J74" s="439"/>
      <c r="K74" s="439"/>
    </row>
    <row r="75" spans="1:11">
      <c r="A75" s="405"/>
      <c r="B75" s="451" t="s">
        <v>527</v>
      </c>
      <c r="C75" s="347">
        <f>IF(C19=1,C17*2,0)</f>
        <v>0</v>
      </c>
      <c r="D75" s="353"/>
      <c r="E75" s="344">
        <f t="shared" si="1"/>
        <v>0</v>
      </c>
      <c r="F75" s="345"/>
      <c r="G75" s="345"/>
      <c r="H75" s="439"/>
      <c r="I75" s="439"/>
      <c r="J75" s="439"/>
      <c r="K75" s="439"/>
    </row>
    <row r="76" spans="1:11">
      <c r="A76" s="405"/>
      <c r="B76" s="451" t="s">
        <v>371</v>
      </c>
      <c r="C76" s="347">
        <f>C17*2</f>
        <v>0</v>
      </c>
      <c r="D76" s="353"/>
      <c r="E76" s="344">
        <f t="shared" si="1"/>
        <v>0</v>
      </c>
      <c r="F76" s="345"/>
      <c r="G76" s="345"/>
      <c r="H76" s="439"/>
      <c r="I76" s="439"/>
      <c r="J76" s="439"/>
      <c r="K76" s="439"/>
    </row>
    <row r="77" spans="1:11">
      <c r="A77" s="405"/>
      <c r="B77" s="451" t="s">
        <v>452</v>
      </c>
      <c r="C77" s="347">
        <f>C17*2</f>
        <v>0</v>
      </c>
      <c r="D77" s="353"/>
      <c r="E77" s="344">
        <f t="shared" si="1"/>
        <v>0</v>
      </c>
      <c r="F77" s="345"/>
      <c r="G77" s="345"/>
      <c r="H77" s="439"/>
      <c r="I77" s="439"/>
      <c r="J77" s="439"/>
      <c r="K77" s="439"/>
    </row>
    <row r="78" spans="1:11">
      <c r="A78" s="405"/>
      <c r="B78" s="451" t="s">
        <v>453</v>
      </c>
      <c r="C78" s="347">
        <f>C17*2</f>
        <v>0</v>
      </c>
      <c r="D78" s="353"/>
      <c r="E78" s="344">
        <f t="shared" si="1"/>
        <v>0</v>
      </c>
      <c r="F78" s="345"/>
      <c r="G78" s="345"/>
      <c r="H78" s="439"/>
      <c r="I78" s="439"/>
      <c r="J78" s="439"/>
      <c r="K78" s="439"/>
    </row>
    <row r="79" spans="1:11">
      <c r="A79" s="405"/>
      <c r="B79" s="451" t="s">
        <v>828</v>
      </c>
      <c r="C79" s="347">
        <f>IF(C18=0,C4+C5+C6+C7+C8+C9,0)</f>
        <v>0</v>
      </c>
      <c r="D79" s="353"/>
      <c r="E79" s="344">
        <f t="shared" si="1"/>
        <v>0</v>
      </c>
      <c r="F79" s="345"/>
      <c r="G79" s="345"/>
      <c r="H79" s="439"/>
      <c r="I79" s="439"/>
      <c r="J79" s="439"/>
      <c r="K79" s="439"/>
    </row>
    <row r="80" spans="1:11">
      <c r="A80" s="405"/>
      <c r="B80" s="451" t="s">
        <v>336</v>
      </c>
      <c r="C80" s="347">
        <f>C17</f>
        <v>0</v>
      </c>
      <c r="D80" s="353"/>
      <c r="E80" s="344">
        <f t="shared" si="1"/>
        <v>0</v>
      </c>
      <c r="F80" s="345"/>
      <c r="G80" s="345"/>
      <c r="H80" s="439"/>
      <c r="I80" s="439"/>
      <c r="J80" s="439"/>
      <c r="K80" s="439"/>
    </row>
    <row r="81" spans="1:11">
      <c r="A81" s="405"/>
      <c r="B81" s="452" t="s">
        <v>454</v>
      </c>
      <c r="C81" s="399">
        <f>C4+C5+C7+C8</f>
        <v>1</v>
      </c>
      <c r="D81" s="353"/>
      <c r="E81" s="400">
        <f t="shared" si="1"/>
        <v>0</v>
      </c>
      <c r="F81" s="345"/>
      <c r="G81" s="345"/>
      <c r="H81" s="453"/>
      <c r="I81" s="453"/>
      <c r="J81" s="439"/>
      <c r="K81" s="439"/>
    </row>
    <row r="82" spans="1:11">
      <c r="A82" s="405"/>
      <c r="B82" s="452" t="s">
        <v>375</v>
      </c>
      <c r="C82" s="399">
        <f>(C10+C11)*(C4+C5+C7+C8)</f>
        <v>0</v>
      </c>
      <c r="D82" s="353"/>
      <c r="E82" s="400">
        <f t="shared" si="1"/>
        <v>0</v>
      </c>
      <c r="F82" s="345"/>
      <c r="G82" s="345"/>
      <c r="H82" s="439"/>
      <c r="I82" s="439"/>
      <c r="J82" s="439"/>
      <c r="K82" s="439"/>
    </row>
    <row r="83" spans="1:11">
      <c r="A83" s="405"/>
      <c r="B83" s="452" t="s">
        <v>495</v>
      </c>
      <c r="C83" s="399">
        <f>C11*(C5+C8)</f>
        <v>0</v>
      </c>
      <c r="D83" s="353"/>
      <c r="E83" s="400">
        <f t="shared" si="1"/>
        <v>0</v>
      </c>
      <c r="F83" s="345"/>
      <c r="G83" s="345"/>
      <c r="H83" s="439"/>
      <c r="I83" s="439"/>
      <c r="J83" s="439"/>
      <c r="K83" s="439"/>
    </row>
    <row r="84" spans="1:11">
      <c r="A84" s="405"/>
      <c r="B84" s="452" t="s">
        <v>377</v>
      </c>
      <c r="C84" s="399">
        <f>C12*(C6+C9)</f>
        <v>0</v>
      </c>
      <c r="D84" s="353"/>
      <c r="E84" s="400">
        <f t="shared" si="1"/>
        <v>0</v>
      </c>
      <c r="F84" s="345"/>
      <c r="G84" s="345"/>
      <c r="H84" s="439"/>
      <c r="I84" s="439"/>
      <c r="J84" s="439"/>
      <c r="K84" s="439"/>
    </row>
    <row r="85" spans="1:11">
      <c r="A85" s="405"/>
      <c r="B85" s="452" t="s">
        <v>378</v>
      </c>
      <c r="C85" s="399">
        <f>C12*(C6+C9)</f>
        <v>0</v>
      </c>
      <c r="D85" s="353"/>
      <c r="E85" s="400">
        <f t="shared" si="1"/>
        <v>0</v>
      </c>
      <c r="F85" s="345"/>
      <c r="G85" s="345"/>
      <c r="H85" s="439"/>
      <c r="I85" s="439"/>
      <c r="J85" s="439"/>
      <c r="K85" s="439"/>
    </row>
    <row r="86" spans="1:11" hidden="1">
      <c r="A86" s="405"/>
      <c r="B86" s="452" t="s">
        <v>528</v>
      </c>
      <c r="C86" s="399">
        <f>C4+C7</f>
        <v>1</v>
      </c>
      <c r="D86" s="353"/>
      <c r="E86" s="400">
        <f t="shared" si="1"/>
        <v>0</v>
      </c>
      <c r="F86" s="345"/>
      <c r="G86" s="345"/>
      <c r="H86" s="439"/>
      <c r="I86" s="439"/>
      <c r="J86" s="439"/>
      <c r="K86" s="439"/>
    </row>
    <row r="87" spans="1:11">
      <c r="A87" s="405"/>
      <c r="B87" s="452" t="s">
        <v>380</v>
      </c>
      <c r="C87" s="399">
        <f>C14*(C8+C5)</f>
        <v>0</v>
      </c>
      <c r="D87" s="353"/>
      <c r="E87" s="400">
        <f t="shared" si="1"/>
        <v>0</v>
      </c>
      <c r="F87" s="345"/>
      <c r="G87" s="345"/>
      <c r="H87" s="439"/>
      <c r="I87" s="439"/>
      <c r="J87" s="439"/>
      <c r="K87" s="439"/>
    </row>
    <row r="88" spans="1:11" ht="11.25" customHeight="1">
      <c r="A88" s="405"/>
      <c r="B88" s="452" t="s">
        <v>529</v>
      </c>
      <c r="C88" s="399">
        <f>(C14+C13)*(C4+C5+C7+C8)</f>
        <v>1</v>
      </c>
      <c r="D88" s="353"/>
      <c r="E88" s="400">
        <f t="shared" si="1"/>
        <v>0</v>
      </c>
      <c r="F88" s="345"/>
      <c r="G88" s="345"/>
      <c r="H88" s="439"/>
      <c r="I88" s="439"/>
      <c r="J88" s="439"/>
      <c r="K88" s="439"/>
    </row>
    <row r="89" spans="1:11" ht="11.25" customHeight="1">
      <c r="A89" s="405"/>
      <c r="B89" s="452" t="s">
        <v>386</v>
      </c>
      <c r="C89" s="399">
        <f>C15*(C6+C9)</f>
        <v>0</v>
      </c>
      <c r="D89" s="401"/>
      <c r="E89" s="400">
        <f t="shared" si="1"/>
        <v>0</v>
      </c>
      <c r="F89" s="345"/>
      <c r="G89" s="345"/>
      <c r="H89" s="439"/>
      <c r="I89" s="439"/>
      <c r="J89" s="439"/>
      <c r="K89" s="439"/>
    </row>
    <row r="90" spans="1:11" ht="11.25" customHeight="1">
      <c r="A90" s="405"/>
      <c r="B90" s="152" t="s">
        <v>145</v>
      </c>
      <c r="C90" s="399">
        <f>C27</f>
        <v>0</v>
      </c>
      <c r="D90" s="721"/>
      <c r="E90" s="400">
        <f t="shared" si="1"/>
        <v>0</v>
      </c>
      <c r="F90" s="345"/>
      <c r="G90" s="345"/>
      <c r="H90" s="439"/>
      <c r="I90" s="439"/>
      <c r="J90" s="439"/>
      <c r="K90" s="439"/>
    </row>
    <row r="91" spans="1:11" ht="11.25" customHeight="1">
      <c r="A91" s="405"/>
      <c r="B91" s="152" t="s">
        <v>148</v>
      </c>
      <c r="C91" s="399">
        <f>C26</f>
        <v>0</v>
      </c>
      <c r="D91" s="721"/>
      <c r="E91" s="400">
        <f t="shared" si="1"/>
        <v>0</v>
      </c>
      <c r="F91" s="345"/>
      <c r="G91" s="345"/>
      <c r="H91" s="439"/>
      <c r="I91" s="439"/>
      <c r="J91" s="439"/>
      <c r="K91" s="439"/>
    </row>
    <row r="92" spans="1:11" ht="11.25" customHeight="1">
      <c r="A92" s="405"/>
      <c r="B92" s="23" t="s">
        <v>689</v>
      </c>
      <c r="C92" s="399">
        <f>C28</f>
        <v>0</v>
      </c>
      <c r="D92" s="721"/>
      <c r="E92" s="400">
        <f t="shared" si="1"/>
        <v>0</v>
      </c>
      <c r="F92" s="345"/>
      <c r="G92" s="345"/>
      <c r="H92" s="439"/>
      <c r="I92" s="439"/>
      <c r="J92" s="439"/>
      <c r="K92" s="439"/>
    </row>
    <row r="93" spans="1:11" ht="11.25" customHeight="1" thickBot="1">
      <c r="A93" s="405"/>
      <c r="B93" s="722" t="s">
        <v>387</v>
      </c>
      <c r="C93" s="402">
        <f>C15*(C6+C9)</f>
        <v>0</v>
      </c>
      <c r="D93" s="403"/>
      <c r="E93" s="404">
        <f t="shared" si="1"/>
        <v>0</v>
      </c>
      <c r="F93" s="345"/>
      <c r="G93" s="457"/>
      <c r="H93" s="439"/>
      <c r="I93" s="439"/>
      <c r="J93" s="439"/>
      <c r="K93" s="439"/>
    </row>
    <row r="94" spans="1:11" ht="11.25" customHeight="1" thickBot="1">
      <c r="A94" s="405"/>
      <c r="B94" s="439"/>
      <c r="C94" s="439"/>
      <c r="D94" s="455" t="s">
        <v>9</v>
      </c>
      <c r="E94" s="456">
        <f>SUMIF(E31:E93,"&gt;0",E31:E93)</f>
        <v>0</v>
      </c>
      <c r="F94" s="457"/>
      <c r="G94" s="439"/>
      <c r="H94" s="439"/>
      <c r="I94" s="439"/>
      <c r="J94" s="439"/>
      <c r="K94" s="439"/>
    </row>
    <row r="95" spans="1:11" ht="11.25" customHeight="1">
      <c r="A95" s="405"/>
      <c r="B95" s="439"/>
      <c r="C95" s="439"/>
      <c r="D95" s="439"/>
      <c r="E95" s="439"/>
      <c r="F95" s="439"/>
      <c r="G95" s="439"/>
      <c r="H95" s="439"/>
      <c r="I95" s="439"/>
      <c r="J95" s="439"/>
      <c r="K95" s="441"/>
    </row>
    <row r="96" spans="1:11" ht="11.25" customHeight="1">
      <c r="A96" s="405"/>
      <c r="B96" s="439"/>
      <c r="C96" s="439"/>
      <c r="D96" s="439"/>
      <c r="E96" s="439"/>
      <c r="F96" s="439"/>
      <c r="G96" s="439"/>
      <c r="H96" s="439"/>
      <c r="I96" s="439"/>
      <c r="J96" s="439"/>
      <c r="K96" s="439"/>
    </row>
    <row r="97" spans="1:11" ht="11.25" customHeight="1">
      <c r="A97" s="405"/>
      <c r="B97" s="439"/>
      <c r="C97" s="439"/>
      <c r="D97" s="439"/>
      <c r="E97" s="439"/>
      <c r="F97" s="439"/>
      <c r="G97" s="405"/>
      <c r="H97" s="405"/>
      <c r="I97" s="405"/>
      <c r="J97" s="405"/>
      <c r="K97" s="405"/>
    </row>
    <row r="98" spans="1:11" ht="11.25" customHeight="1">
      <c r="A98" s="405"/>
      <c r="B98" s="405"/>
      <c r="C98" s="405"/>
      <c r="D98" s="405"/>
      <c r="E98" s="405"/>
      <c r="F98" s="405"/>
      <c r="G98" s="405"/>
      <c r="H98" s="405"/>
      <c r="I98" s="405"/>
      <c r="J98" s="405"/>
      <c r="K98" s="405"/>
    </row>
    <row r="99" spans="1:11" ht="11.25" customHeight="1">
      <c r="A99" s="405"/>
      <c r="B99" s="405"/>
      <c r="C99" s="405"/>
      <c r="D99" s="405"/>
      <c r="E99" s="405"/>
      <c r="F99" s="405"/>
      <c r="G99" s="405"/>
      <c r="H99" s="405"/>
      <c r="I99" s="405"/>
      <c r="J99" s="405"/>
      <c r="K99" s="405"/>
    </row>
    <row r="100" spans="1:11" ht="11.25" customHeight="1">
      <c r="A100" s="405"/>
      <c r="B100" s="405"/>
      <c r="C100" s="405"/>
      <c r="D100" s="405"/>
      <c r="E100" s="405"/>
      <c r="F100" s="405"/>
      <c r="G100" s="405"/>
      <c r="H100" s="405"/>
      <c r="I100" s="405"/>
      <c r="J100" s="405"/>
      <c r="K100" s="405"/>
    </row>
    <row r="101" spans="1:11" ht="11.25" customHeight="1">
      <c r="A101" s="405"/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</row>
    <row r="102" spans="1:11" ht="11.25" customHeight="1">
      <c r="A102" s="405"/>
      <c r="B102" s="405"/>
      <c r="C102" s="405"/>
      <c r="D102" s="405"/>
      <c r="E102" s="405"/>
      <c r="F102" s="405"/>
      <c r="G102" s="405"/>
      <c r="H102" s="405"/>
      <c r="I102" s="405"/>
      <c r="J102" s="405"/>
      <c r="K102" s="405"/>
    </row>
    <row r="103" spans="1:11" ht="11.25" customHeight="1">
      <c r="A103" s="405"/>
      <c r="B103" s="405"/>
      <c r="C103" s="405"/>
      <c r="D103" s="405"/>
      <c r="E103" s="405"/>
      <c r="F103" s="405"/>
      <c r="G103" s="405"/>
      <c r="H103" s="405"/>
      <c r="I103" s="405"/>
      <c r="J103" s="405"/>
      <c r="K103" s="405"/>
    </row>
    <row r="104" spans="1:11" ht="11.25" customHeight="1">
      <c r="A104" s="405"/>
      <c r="B104" s="405"/>
      <c r="C104" s="405"/>
      <c r="D104" s="405"/>
      <c r="E104" s="405"/>
      <c r="F104" s="405"/>
      <c r="G104" s="405"/>
      <c r="H104" s="405"/>
      <c r="I104" s="405"/>
      <c r="J104" s="405"/>
      <c r="K104" s="405"/>
    </row>
    <row r="105" spans="1:11" ht="10.5" customHeight="1">
      <c r="B105" s="405"/>
      <c r="C105" s="405"/>
      <c r="D105" s="405"/>
      <c r="E105" s="405"/>
      <c r="F105" s="405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d+kac1TgPi6mW2YGsccOylMuo+mkj0MCcZOz4z1mAE58jRUEeuWdjLZ09OyJGdxehbsyJfqOeWyAHO/d9PtUig==" saltValue="3FBnOVTQJKObptdjb5rxjw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656" priority="17" operator="equal">
      <formula>"ДА"</formula>
    </cfRule>
    <cfRule type="cellIs" dxfId="655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654" priority="10" operator="greaterThan">
      <formula>0</formula>
    </cfRule>
  </conditionalFormatting>
  <conditionalFormatting sqref="E94">
    <cfRule type="cellIs" dxfId="653" priority="8" operator="greaterThan">
      <formula>0</formula>
    </cfRule>
    <cfRule type="cellIs" dxfId="652" priority="9" operator="greaterThan">
      <formula>0</formula>
    </cfRule>
  </conditionalFormatting>
  <conditionalFormatting sqref="J3:K21">
    <cfRule type="cellIs" dxfId="651" priority="7" operator="greaterThan">
      <formula>0</formula>
    </cfRule>
  </conditionalFormatting>
  <conditionalFormatting sqref="C2:C19 C21:C28">
    <cfRule type="cellIs" dxfId="650" priority="6" operator="greaterThan">
      <formula>0</formula>
    </cfRule>
  </conditionalFormatting>
  <conditionalFormatting sqref="K3:K21">
    <cfRule type="cellIs" dxfId="649" priority="5" operator="greaterThan">
      <formula>0</formula>
    </cfRule>
  </conditionalFormatting>
  <conditionalFormatting sqref="C38:E38">
    <cfRule type="cellIs" dxfId="648" priority="4" operator="greaterThan">
      <formula>0</formula>
    </cfRule>
  </conditionalFormatting>
  <conditionalFormatting sqref="C43:E43">
    <cfRule type="cellIs" dxfId="647" priority="3" operator="greaterThan">
      <formula>0</formula>
    </cfRule>
  </conditionalFormatting>
  <conditionalFormatting sqref="C90:C92">
    <cfRule type="cellIs" dxfId="646" priority="2" operator="greaterThan">
      <formula>0</formula>
    </cfRule>
  </conditionalFormatting>
  <conditionalFormatting sqref="C20">
    <cfRule type="cellIs" dxfId="645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05"/>
      <c r="B1" s="1229"/>
      <c r="C1" s="1230"/>
      <c r="D1" s="1230"/>
      <c r="E1" s="1230"/>
      <c r="F1" s="786"/>
      <c r="G1" s="786"/>
      <c r="H1" s="405"/>
      <c r="I1" s="405"/>
      <c r="J1" s="405"/>
      <c r="K1" s="405"/>
    </row>
    <row r="2" spans="1:12" ht="26.25" customHeight="1" thickBot="1">
      <c r="A2" s="405"/>
      <c r="B2" s="407" t="s">
        <v>10</v>
      </c>
      <c r="C2" s="458">
        <v>0</v>
      </c>
      <c r="D2" s="1231" t="s">
        <v>595</v>
      </c>
      <c r="E2" s="1232"/>
      <c r="F2" s="1233"/>
      <c r="G2" s="785"/>
      <c r="H2" s="409" t="s">
        <v>485</v>
      </c>
      <c r="I2" s="410" t="s">
        <v>604</v>
      </c>
      <c r="J2" s="410" t="s">
        <v>4</v>
      </c>
      <c r="K2" s="411" t="s">
        <v>8</v>
      </c>
      <c r="L2" s="256"/>
    </row>
    <row r="3" spans="1:12" ht="12.75" thickBot="1">
      <c r="A3" s="405"/>
      <c r="B3" s="412" t="s">
        <v>1</v>
      </c>
      <c r="C3" s="459"/>
      <c r="D3" s="1234"/>
      <c r="E3" s="1235"/>
      <c r="F3" s="1236"/>
      <c r="G3" s="785"/>
      <c r="H3" s="571" t="s">
        <v>372</v>
      </c>
      <c r="I3" s="572" t="str">
        <f>IF(AND($C$6+$C$7=1,$C$8+$C$9=0,$C$10=2),"ДА","НЕТ")</f>
        <v>НЕТ</v>
      </c>
      <c r="J3" s="573"/>
      <c r="K3" s="574">
        <f>IF(I3="ДА",($C$4+$C$5+#REF!+#REF!+#REF!+#REF!)*J3,0)</f>
        <v>0</v>
      </c>
      <c r="L3" s="266"/>
    </row>
    <row r="4" spans="1:12" ht="12" customHeight="1">
      <c r="A4" s="405"/>
      <c r="B4" s="415" t="s">
        <v>520</v>
      </c>
      <c r="C4" s="460">
        <v>0</v>
      </c>
      <c r="D4" s="1231" t="s">
        <v>596</v>
      </c>
      <c r="E4" s="1232"/>
      <c r="F4" s="1233"/>
      <c r="G4" s="785"/>
      <c r="H4" s="416" t="s">
        <v>373</v>
      </c>
      <c r="I4" s="414" t="str">
        <f>IF(AND($C$6+$C$7=1,$C$8+$C$9=0,$C$10=2),"ДА","НЕТ")</f>
        <v>НЕТ</v>
      </c>
      <c r="J4" s="395"/>
      <c r="K4" s="319">
        <f>IF(I4="ДА",($C$4+$C$5+#REF!+#REF!+#REF!+#REF!)*J4,0)</f>
        <v>0</v>
      </c>
      <c r="L4" s="266"/>
    </row>
    <row r="5" spans="1:12" ht="12.75" thickBot="1">
      <c r="A5" s="405"/>
      <c r="B5" s="417" t="s">
        <v>391</v>
      </c>
      <c r="C5" s="461">
        <v>0</v>
      </c>
      <c r="D5" s="1234"/>
      <c r="E5" s="1235"/>
      <c r="F5" s="1236"/>
      <c r="G5" s="785"/>
      <c r="H5" s="416" t="s">
        <v>374</v>
      </c>
      <c r="I5" s="414" t="str">
        <f>IF(AND($C$6+$C$7=1,$C$8+$C$9=0,$C$10=2),"ДА","НЕТ")</f>
        <v>НЕТ</v>
      </c>
      <c r="J5" s="395"/>
      <c r="K5" s="319">
        <f>IF(I5="ДА",($C$4+$C$5+#REF!+#REF!+#REF!+#REF!)*J5,0)</f>
        <v>0</v>
      </c>
      <c r="L5" s="266"/>
    </row>
    <row r="6" spans="1:12" ht="12" customHeight="1">
      <c r="A6" s="405"/>
      <c r="B6" s="407" t="s">
        <v>521</v>
      </c>
      <c r="C6" s="464">
        <v>0</v>
      </c>
      <c r="D6" s="420" t="s">
        <v>287</v>
      </c>
      <c r="E6" s="421" t="s">
        <v>255</v>
      </c>
      <c r="F6" s="1239" t="s">
        <v>596</v>
      </c>
      <c r="G6" s="785"/>
      <c r="H6" s="418" t="s">
        <v>376</v>
      </c>
      <c r="I6" s="414" t="str">
        <f>IF(AND($C$6+$C$7=1,$C$8+$C$9=0,$C$10=3),"ДА","НЕТ")</f>
        <v>НЕТ</v>
      </c>
      <c r="J6" s="322"/>
      <c r="K6" s="319">
        <f>IF(I6="ДА",($C$4+$C$5+#REF!+#REF!+#REF!+#REF!)*J6,0)</f>
        <v>0</v>
      </c>
      <c r="L6" s="266"/>
    </row>
    <row r="7" spans="1:12" ht="12">
      <c r="A7" s="405"/>
      <c r="B7" s="419" t="s">
        <v>490</v>
      </c>
      <c r="C7" s="462">
        <v>0</v>
      </c>
      <c r="D7" s="422" t="s">
        <v>287</v>
      </c>
      <c r="E7" s="423" t="s">
        <v>255</v>
      </c>
      <c r="F7" s="1240"/>
      <c r="G7" s="785"/>
      <c r="H7" s="418" t="s">
        <v>673</v>
      </c>
      <c r="I7" s="414" t="str">
        <f>IF(AND($C$8=1,$C$6+$C$7+$C$9=0,$C$10=2),"ДА","НЕТ")</f>
        <v>НЕТ</v>
      </c>
      <c r="J7" s="322"/>
      <c r="K7" s="319">
        <f>IF(I7="ДА",($C$4+$C$5+#REF!+#REF!+#REF!+#REF!)*J7,0)</f>
        <v>0</v>
      </c>
      <c r="L7" s="266"/>
    </row>
    <row r="8" spans="1:12" ht="12">
      <c r="A8" s="405"/>
      <c r="B8" s="419" t="s">
        <v>522</v>
      </c>
      <c r="C8" s="462">
        <v>0</v>
      </c>
      <c r="D8" s="422" t="s">
        <v>287</v>
      </c>
      <c r="E8" s="423" t="s">
        <v>255</v>
      </c>
      <c r="F8" s="1240"/>
      <c r="G8" s="785"/>
      <c r="H8" s="418" t="s">
        <v>518</v>
      </c>
      <c r="I8" s="414" t="str">
        <f>IF(AND($C$8=1,$C$6+$C$7+$C$9=0,$C$10=2),"ДА","НЕТ")</f>
        <v>НЕТ</v>
      </c>
      <c r="J8" s="322"/>
      <c r="K8" s="319">
        <f>IF(I8="ДА",($C$4+$C$5+#REF!+#REF!+#REF!+#REF!)*J8,0)</f>
        <v>0</v>
      </c>
      <c r="L8" s="266"/>
    </row>
    <row r="9" spans="1:12" ht="12.75" thickBot="1">
      <c r="A9" s="405"/>
      <c r="B9" s="440" t="s">
        <v>492</v>
      </c>
      <c r="C9" s="466">
        <v>0</v>
      </c>
      <c r="D9" s="487" t="s">
        <v>287</v>
      </c>
      <c r="E9" s="488" t="s">
        <v>255</v>
      </c>
      <c r="F9" s="1241"/>
      <c r="G9" s="785"/>
      <c r="H9" s="418" t="s">
        <v>519</v>
      </c>
      <c r="I9" s="414" t="str">
        <f>IF(AND($C$8=1,$C$6+$C$7+$C$9=0,$C$10=1),"ДА","НЕТ")</f>
        <v>НЕТ</v>
      </c>
      <c r="J9" s="322"/>
      <c r="K9" s="319">
        <f>IF(I9="ДА",($C$4+$C$5+#REF!+#REF!+#REF!+#REF!)*J9,0)</f>
        <v>0</v>
      </c>
      <c r="L9" s="266"/>
    </row>
    <row r="10" spans="1:12" ht="12" customHeight="1" thickBot="1">
      <c r="A10" s="405"/>
      <c r="B10" s="440" t="s">
        <v>589</v>
      </c>
      <c r="C10" s="466">
        <v>0</v>
      </c>
      <c r="D10" s="430" t="s">
        <v>619</v>
      </c>
      <c r="E10" s="428" t="s">
        <v>620</v>
      </c>
      <c r="F10" s="788" t="s">
        <v>621</v>
      </c>
      <c r="G10" s="785"/>
      <c r="H10" s="416" t="s">
        <v>379</v>
      </c>
      <c r="I10" s="414" t="str">
        <f>IF(AND($C$9=1,$C$6+$C$7+$C$8=0,$C$10=2),"ДА","НЕТ")</f>
        <v>НЕТ</v>
      </c>
      <c r="J10" s="325"/>
      <c r="K10" s="319">
        <f>IF(I10="ДА",($C$4+$C$5+#REF!+#REF!+#REF!+#REF!)*J10,0)</f>
        <v>0</v>
      </c>
      <c r="L10" s="266"/>
    </row>
    <row r="11" spans="1:12" ht="12.75" thickBot="1">
      <c r="A11" s="405"/>
      <c r="B11" s="429" t="s">
        <v>393</v>
      </c>
      <c r="C11" s="465">
        <v>0</v>
      </c>
      <c r="D11" s="432" t="s">
        <v>394</v>
      </c>
      <c r="E11" s="789" t="s">
        <v>395</v>
      </c>
      <c r="F11" s="469"/>
      <c r="G11" s="785"/>
      <c r="H11" s="413" t="s">
        <v>381</v>
      </c>
      <c r="I11" s="414" t="str">
        <f>IF(AND($C$9=1,$C$6+$C$7+$C$8=0,$C$10=1),"ДА","НЕТ")</f>
        <v>НЕТ</v>
      </c>
      <c r="J11" s="325"/>
      <c r="K11" s="319">
        <f>IF(I11="ДА",($C$4+$C$5+#REF!+#REF!+#REF!+#REF!)*J11,0)</f>
        <v>0</v>
      </c>
      <c r="L11" s="266"/>
    </row>
    <row r="12" spans="1:12" ht="12.75" thickBot="1">
      <c r="A12" s="405"/>
      <c r="B12" s="407" t="s">
        <v>361</v>
      </c>
      <c r="C12" s="464">
        <v>0</v>
      </c>
      <c r="D12" s="420" t="s">
        <v>287</v>
      </c>
      <c r="E12" s="421" t="s">
        <v>255</v>
      </c>
      <c r="F12" s="1239" t="s">
        <v>597</v>
      </c>
      <c r="G12" s="426"/>
      <c r="H12" s="817" t="s">
        <v>382</v>
      </c>
      <c r="I12" s="438" t="str">
        <f>IF(AND($C$9=1,$C$6+$C$7+$C$8=0,$C$10=3),"ДА","НЕТ")</f>
        <v>НЕТ</v>
      </c>
      <c r="J12" s="332"/>
      <c r="K12" s="475">
        <f>IF(I12="ДА",($C$4+$C$5+#REF!+#REF!+#REF!+#REF!)*J12,0)</f>
        <v>0</v>
      </c>
      <c r="L12" s="266"/>
    </row>
    <row r="13" spans="1:12">
      <c r="A13" s="405"/>
      <c r="B13" s="417" t="s">
        <v>362</v>
      </c>
      <c r="C13" s="461">
        <v>0</v>
      </c>
      <c r="D13" s="424" t="s">
        <v>287</v>
      </c>
      <c r="E13" s="425" t="s">
        <v>255</v>
      </c>
      <c r="F13" s="1240"/>
      <c r="G13" s="785"/>
      <c r="H13" s="266"/>
      <c r="L13" s="266"/>
    </row>
    <row r="14" spans="1:12">
      <c r="A14" s="405"/>
      <c r="B14" s="417" t="s">
        <v>466</v>
      </c>
      <c r="C14" s="461">
        <v>0</v>
      </c>
      <c r="D14" s="424" t="s">
        <v>287</v>
      </c>
      <c r="E14" s="425" t="s">
        <v>255</v>
      </c>
      <c r="F14" s="1240"/>
      <c r="G14" s="785"/>
      <c r="H14" s="266"/>
      <c r="L14" s="266"/>
    </row>
    <row r="15" spans="1:12" ht="12" thickBot="1">
      <c r="A15" s="405"/>
      <c r="B15" s="514" t="s">
        <v>523</v>
      </c>
      <c r="C15" s="513">
        <v>0</v>
      </c>
      <c r="D15" s="626" t="s">
        <v>287</v>
      </c>
      <c r="E15" s="516" t="s">
        <v>255</v>
      </c>
      <c r="F15" s="1240"/>
      <c r="G15" s="426"/>
      <c r="H15" s="266"/>
      <c r="L15" s="266"/>
    </row>
    <row r="16" spans="1:12">
      <c r="A16" s="405"/>
      <c r="B16" s="407" t="s">
        <v>147</v>
      </c>
      <c r="C16" s="464">
        <v>0</v>
      </c>
      <c r="D16" s="1242" t="s">
        <v>686</v>
      </c>
      <c r="E16" s="1243"/>
      <c r="F16" s="1244"/>
      <c r="G16" s="426"/>
      <c r="H16" s="266"/>
      <c r="L16" s="266"/>
    </row>
    <row r="17" spans="1:12">
      <c r="A17" s="405"/>
      <c r="B17" s="417" t="s">
        <v>146</v>
      </c>
      <c r="C17" s="461">
        <v>0</v>
      </c>
      <c r="D17" s="1245" t="s">
        <v>687</v>
      </c>
      <c r="E17" s="1246"/>
      <c r="F17" s="1247"/>
      <c r="G17" s="785"/>
      <c r="H17" s="439"/>
      <c r="I17" s="439"/>
      <c r="J17" s="439"/>
      <c r="K17" s="439"/>
      <c r="L17" s="266"/>
    </row>
    <row r="18" spans="1:12" ht="12" thickBot="1">
      <c r="A18" s="405"/>
      <c r="B18" s="412" t="s">
        <v>143</v>
      </c>
      <c r="C18" s="463">
        <v>0</v>
      </c>
      <c r="D18" s="1248" t="s">
        <v>688</v>
      </c>
      <c r="E18" s="1249"/>
      <c r="F18" s="1250"/>
      <c r="G18" s="785"/>
      <c r="H18" s="439"/>
      <c r="I18" s="439"/>
      <c r="J18" s="439"/>
      <c r="K18" s="439"/>
    </row>
    <row r="19" spans="1:12" ht="12" thickBot="1">
      <c r="A19" s="405"/>
      <c r="B19" s="1228"/>
      <c r="C19" s="1228"/>
      <c r="D19" s="1228"/>
      <c r="E19" s="1228"/>
      <c r="F19" s="785"/>
      <c r="G19" s="435"/>
      <c r="H19" s="441"/>
      <c r="I19" s="441"/>
      <c r="J19" s="439"/>
      <c r="K19" s="439"/>
    </row>
    <row r="20" spans="1:12" ht="12.75">
      <c r="A20" s="405"/>
      <c r="B20" s="444" t="s">
        <v>5</v>
      </c>
      <c r="C20" s="445" t="s">
        <v>0</v>
      </c>
      <c r="D20" s="446" t="s">
        <v>4</v>
      </c>
      <c r="E20" s="447" t="s">
        <v>8</v>
      </c>
      <c r="F20" s="448"/>
      <c r="G20" s="435"/>
      <c r="H20" s="450"/>
      <c r="I20" s="785"/>
      <c r="J20" s="439"/>
      <c r="K20" s="439"/>
    </row>
    <row r="21" spans="1:12">
      <c r="A21" s="405"/>
      <c r="B21" s="449" t="s">
        <v>605</v>
      </c>
      <c r="C21" s="342">
        <f>IF(C14=1,C14*(C4+C5)*2,0)</f>
        <v>0</v>
      </c>
      <c r="D21" s="396">
        <v>1</v>
      </c>
      <c r="E21" s="344">
        <f>C21*D21</f>
        <v>0</v>
      </c>
      <c r="F21" s="345"/>
      <c r="G21" s="785"/>
      <c r="H21" s="439"/>
      <c r="I21" s="439"/>
      <c r="J21" s="439"/>
      <c r="K21" s="439"/>
    </row>
    <row r="22" spans="1:12" ht="11.25" customHeight="1">
      <c r="A22" s="405"/>
      <c r="B22" s="449" t="s">
        <v>563</v>
      </c>
      <c r="C22" s="342">
        <f>IF(C15=1,C15*(C4+C5)*2,0)</f>
        <v>0</v>
      </c>
      <c r="D22" s="396"/>
      <c r="E22" s="344">
        <f t="shared" ref="E22:E45" si="0">C22*D22</f>
        <v>0</v>
      </c>
      <c r="F22" s="345"/>
      <c r="G22" s="785"/>
      <c r="H22" s="439"/>
      <c r="I22" s="439"/>
      <c r="J22" s="439"/>
      <c r="K22" s="439"/>
      <c r="L22" s="266"/>
    </row>
    <row r="23" spans="1:12">
      <c r="A23" s="405"/>
      <c r="B23" s="449" t="s">
        <v>117</v>
      </c>
      <c r="C23" s="342">
        <f>IF((C12+C13)&gt;0,(C12+C13)*4*(C4+C5),0)</f>
        <v>0</v>
      </c>
      <c r="D23" s="396"/>
      <c r="E23" s="344">
        <f t="shared" si="0"/>
        <v>0</v>
      </c>
      <c r="F23" s="345"/>
      <c r="G23" s="785"/>
      <c r="H23" s="439"/>
      <c r="I23" s="439"/>
      <c r="J23" s="439"/>
      <c r="K23" s="439"/>
      <c r="L23" s="250"/>
    </row>
    <row r="24" spans="1:12">
      <c r="A24" s="405"/>
      <c r="B24" s="451" t="s">
        <v>792</v>
      </c>
      <c r="C24" s="347">
        <f>(C4+C5)*2</f>
        <v>0</v>
      </c>
      <c r="D24" s="353"/>
      <c r="E24" s="344">
        <f>C24*D24</f>
        <v>0</v>
      </c>
      <c r="F24" s="345"/>
      <c r="G24" s="345"/>
      <c r="H24" s="439"/>
      <c r="I24" s="439"/>
      <c r="J24" s="439"/>
      <c r="K24" s="439"/>
    </row>
    <row r="25" spans="1:12">
      <c r="A25" s="405"/>
      <c r="B25" s="449" t="s">
        <v>474</v>
      </c>
      <c r="C25" s="342">
        <f>(C5+C15)*C2*2</f>
        <v>0</v>
      </c>
      <c r="D25" s="396"/>
      <c r="E25" s="344">
        <f t="shared" si="0"/>
        <v>0</v>
      </c>
      <c r="F25" s="345"/>
      <c r="G25" s="345"/>
      <c r="H25" s="439"/>
      <c r="I25" s="439"/>
      <c r="J25" s="439"/>
      <c r="K25" s="439"/>
    </row>
    <row r="26" spans="1:12">
      <c r="A26" s="405"/>
      <c r="B26" s="451" t="s">
        <v>363</v>
      </c>
      <c r="C26" s="347">
        <f>C13*4*C2*(C4+C5)</f>
        <v>0</v>
      </c>
      <c r="D26" s="353"/>
      <c r="E26" s="344">
        <f t="shared" si="0"/>
        <v>0</v>
      </c>
      <c r="F26" s="345"/>
      <c r="G26" s="345"/>
      <c r="H26" s="439"/>
      <c r="I26" s="439"/>
      <c r="J26" s="439"/>
      <c r="K26" s="439"/>
    </row>
    <row r="27" spans="1:12">
      <c r="A27" s="405"/>
      <c r="B27" s="451" t="s">
        <v>118</v>
      </c>
      <c r="C27" s="347">
        <f>C2*(C12+C14)*(C4+C5)*2</f>
        <v>0</v>
      </c>
      <c r="D27" s="353"/>
      <c r="E27" s="344">
        <f t="shared" si="0"/>
        <v>0</v>
      </c>
      <c r="F27" s="345"/>
      <c r="G27" s="345"/>
      <c r="H27" s="439"/>
      <c r="I27" s="439"/>
      <c r="J27" s="439"/>
      <c r="K27" s="439"/>
    </row>
    <row r="28" spans="1:12">
      <c r="A28" s="405"/>
      <c r="B28" s="451" t="s">
        <v>480</v>
      </c>
      <c r="C28" s="347">
        <f>C4*C2*2</f>
        <v>0</v>
      </c>
      <c r="D28" s="353"/>
      <c r="E28" s="344">
        <f t="shared" si="0"/>
        <v>0</v>
      </c>
      <c r="F28" s="345"/>
      <c r="G28" s="345"/>
      <c r="H28" s="439"/>
      <c r="I28" s="439"/>
      <c r="J28" s="439"/>
      <c r="K28" s="439"/>
    </row>
    <row r="29" spans="1:12">
      <c r="A29" s="405"/>
      <c r="B29" s="451" t="s">
        <v>616</v>
      </c>
      <c r="C29" s="347">
        <f>C14*C2*(C4+C5)*2</f>
        <v>0</v>
      </c>
      <c r="D29" s="353"/>
      <c r="E29" s="344">
        <f t="shared" si="0"/>
        <v>0</v>
      </c>
      <c r="F29" s="345"/>
      <c r="G29" s="345"/>
      <c r="H29" s="439"/>
      <c r="I29" s="439"/>
      <c r="J29" s="439"/>
      <c r="K29" s="439"/>
    </row>
    <row r="30" spans="1:12">
      <c r="A30" s="405"/>
      <c r="B30" s="451" t="s">
        <v>467</v>
      </c>
      <c r="C30" s="347">
        <f>C15*C2*(C4+C5)*2</f>
        <v>0</v>
      </c>
      <c r="D30" s="353"/>
      <c r="E30" s="344">
        <f t="shared" si="0"/>
        <v>0</v>
      </c>
      <c r="F30" s="345"/>
      <c r="G30" s="345"/>
      <c r="H30" s="439"/>
      <c r="I30" s="439"/>
      <c r="J30" s="439"/>
      <c r="K30" s="439"/>
    </row>
    <row r="31" spans="1:12">
      <c r="A31" s="405"/>
      <c r="B31" s="451" t="s">
        <v>364</v>
      </c>
      <c r="C31" s="347">
        <f>C12*C2*(C4+C5)*2</f>
        <v>0</v>
      </c>
      <c r="D31" s="353"/>
      <c r="E31" s="344">
        <f t="shared" si="0"/>
        <v>0</v>
      </c>
      <c r="F31" s="345"/>
      <c r="G31" s="345"/>
      <c r="H31" s="439"/>
      <c r="I31" s="439"/>
      <c r="J31" s="439"/>
      <c r="K31" s="439"/>
    </row>
    <row r="32" spans="1:12">
      <c r="A32" s="405"/>
      <c r="B32" s="451" t="s">
        <v>365</v>
      </c>
      <c r="C32" s="347">
        <f>C13*C2*(C4+C5)*2</f>
        <v>0</v>
      </c>
      <c r="D32" s="353"/>
      <c r="E32" s="344">
        <f t="shared" si="0"/>
        <v>0</v>
      </c>
      <c r="F32" s="345"/>
      <c r="G32" s="345"/>
      <c r="H32" s="439"/>
      <c r="I32" s="439"/>
      <c r="J32" s="439"/>
      <c r="K32" s="439"/>
    </row>
    <row r="33" spans="1:11">
      <c r="A33" s="405"/>
      <c r="B33" s="449" t="s">
        <v>525</v>
      </c>
      <c r="C33" s="342">
        <f>C2*C4*2</f>
        <v>0</v>
      </c>
      <c r="D33" s="396"/>
      <c r="E33" s="344">
        <f t="shared" si="0"/>
        <v>0</v>
      </c>
      <c r="F33" s="345"/>
      <c r="G33" s="345"/>
      <c r="H33" s="439"/>
      <c r="I33" s="439"/>
      <c r="J33" s="439"/>
      <c r="K33" s="439"/>
    </row>
    <row r="34" spans="1:11">
      <c r="A34" s="405"/>
      <c r="B34" s="449" t="s">
        <v>451</v>
      </c>
      <c r="C34" s="342">
        <f>C2*C5*2</f>
        <v>0</v>
      </c>
      <c r="D34" s="396"/>
      <c r="E34" s="344">
        <f t="shared" si="0"/>
        <v>0</v>
      </c>
      <c r="F34" s="345"/>
      <c r="G34" s="345"/>
      <c r="H34" s="439"/>
      <c r="I34" s="439"/>
      <c r="J34" s="439"/>
      <c r="K34" s="439"/>
    </row>
    <row r="35" spans="1:11">
      <c r="A35" s="405"/>
      <c r="B35" s="451" t="s">
        <v>367</v>
      </c>
      <c r="C35" s="347">
        <f>C5*2</f>
        <v>0</v>
      </c>
      <c r="D35" s="353"/>
      <c r="E35" s="344">
        <f t="shared" si="0"/>
        <v>0</v>
      </c>
      <c r="F35" s="345"/>
      <c r="G35" s="345"/>
      <c r="H35" s="439"/>
      <c r="I35" s="439"/>
      <c r="J35" s="439"/>
      <c r="K35" s="439"/>
    </row>
    <row r="36" spans="1:11">
      <c r="A36" s="405"/>
      <c r="B36" s="451" t="s">
        <v>828</v>
      </c>
      <c r="C36" s="347">
        <f>(C4+C5)*2</f>
        <v>0</v>
      </c>
      <c r="D36" s="353"/>
      <c r="E36" s="344">
        <f t="shared" si="0"/>
        <v>0</v>
      </c>
      <c r="F36" s="345"/>
      <c r="G36" s="345"/>
      <c r="H36" s="439"/>
      <c r="I36" s="439"/>
      <c r="J36" s="439"/>
      <c r="K36" s="439"/>
    </row>
    <row r="37" spans="1:11">
      <c r="A37" s="405"/>
      <c r="B37" s="452" t="s">
        <v>454</v>
      </c>
      <c r="C37" s="399">
        <f>(C4+C5)*2</f>
        <v>0</v>
      </c>
      <c r="D37" s="353"/>
      <c r="E37" s="400">
        <f t="shared" si="0"/>
        <v>0</v>
      </c>
      <c r="F37" s="345"/>
      <c r="G37" s="345"/>
      <c r="H37" s="439"/>
      <c r="I37" s="439"/>
      <c r="J37" s="439"/>
      <c r="K37" s="439"/>
    </row>
    <row r="38" spans="1:11">
      <c r="A38" s="405"/>
      <c r="B38" s="452" t="s">
        <v>375</v>
      </c>
      <c r="C38" s="399">
        <f>(C6+C7)*(C4+C5)*2</f>
        <v>0</v>
      </c>
      <c r="D38" s="353"/>
      <c r="E38" s="400">
        <f t="shared" si="0"/>
        <v>0</v>
      </c>
      <c r="F38" s="345"/>
      <c r="G38" s="345"/>
      <c r="H38" s="439"/>
      <c r="I38" s="439"/>
      <c r="J38" s="439"/>
      <c r="K38" s="439"/>
    </row>
    <row r="39" spans="1:11">
      <c r="A39" s="405"/>
      <c r="B39" s="452" t="s">
        <v>495</v>
      </c>
      <c r="C39" s="399">
        <f>C7*C5*2</f>
        <v>0</v>
      </c>
      <c r="D39" s="353"/>
      <c r="E39" s="400">
        <f t="shared" si="0"/>
        <v>0</v>
      </c>
      <c r="F39" s="345"/>
      <c r="G39" s="345"/>
      <c r="H39" s="439"/>
      <c r="I39" s="439"/>
      <c r="J39" s="439"/>
      <c r="K39" s="439"/>
    </row>
    <row r="40" spans="1:11" hidden="1">
      <c r="A40" s="405"/>
      <c r="B40" s="452" t="s">
        <v>528</v>
      </c>
      <c r="C40" s="399">
        <f>C4*2</f>
        <v>0</v>
      </c>
      <c r="D40" s="353"/>
      <c r="E40" s="400">
        <f t="shared" si="0"/>
        <v>0</v>
      </c>
      <c r="F40" s="345"/>
      <c r="G40" s="345"/>
      <c r="H40" s="439"/>
      <c r="I40" s="439"/>
      <c r="J40" s="439"/>
      <c r="K40" s="439"/>
    </row>
    <row r="41" spans="1:11">
      <c r="A41" s="405"/>
      <c r="B41" s="452" t="s">
        <v>380</v>
      </c>
      <c r="C41" s="399">
        <f>C9*C5*2</f>
        <v>0</v>
      </c>
      <c r="D41" s="353"/>
      <c r="E41" s="400">
        <f t="shared" si="0"/>
        <v>0</v>
      </c>
      <c r="F41" s="345"/>
      <c r="G41" s="345"/>
      <c r="H41" s="439"/>
      <c r="I41" s="439"/>
      <c r="J41" s="439"/>
      <c r="K41" s="439"/>
    </row>
    <row r="42" spans="1:11">
      <c r="A42" s="405"/>
      <c r="B42" s="452" t="s">
        <v>529</v>
      </c>
      <c r="C42" s="399">
        <f>(C9+C8)*(C4+C5)*2</f>
        <v>0</v>
      </c>
      <c r="D42" s="353"/>
      <c r="E42" s="400">
        <f t="shared" si="0"/>
        <v>0</v>
      </c>
      <c r="F42" s="345"/>
      <c r="G42" s="345"/>
      <c r="H42" s="439"/>
      <c r="I42" s="439"/>
      <c r="J42" s="439"/>
      <c r="K42" s="439"/>
    </row>
    <row r="43" spans="1:11">
      <c r="A43" s="405"/>
      <c r="B43" s="152" t="s">
        <v>145</v>
      </c>
      <c r="C43" s="399">
        <f>C17</f>
        <v>0</v>
      </c>
      <c r="D43" s="721"/>
      <c r="E43" s="400">
        <f t="shared" si="0"/>
        <v>0</v>
      </c>
      <c r="F43" s="345"/>
      <c r="G43" s="345"/>
      <c r="H43" s="439"/>
      <c r="I43" s="439"/>
      <c r="J43" s="439"/>
      <c r="K43" s="439"/>
    </row>
    <row r="44" spans="1:11">
      <c r="A44" s="405"/>
      <c r="B44" s="152" t="s">
        <v>148</v>
      </c>
      <c r="C44" s="399">
        <f>C16</f>
        <v>0</v>
      </c>
      <c r="D44" s="721"/>
      <c r="E44" s="400">
        <f t="shared" si="0"/>
        <v>0</v>
      </c>
      <c r="F44" s="345"/>
      <c r="G44" s="345"/>
      <c r="H44" s="439"/>
      <c r="I44" s="439"/>
      <c r="J44" s="439"/>
      <c r="K44" s="439"/>
    </row>
    <row r="45" spans="1:11" ht="12" thickBot="1">
      <c r="A45" s="405"/>
      <c r="B45" s="30" t="s">
        <v>689</v>
      </c>
      <c r="C45" s="402">
        <f>C18</f>
        <v>0</v>
      </c>
      <c r="D45" s="816"/>
      <c r="E45" s="404">
        <f t="shared" si="0"/>
        <v>0</v>
      </c>
      <c r="F45" s="345"/>
      <c r="G45" s="345"/>
      <c r="H45" s="439"/>
      <c r="I45" s="439"/>
      <c r="J45" s="439"/>
      <c r="K45" s="439"/>
    </row>
    <row r="46" spans="1:11" ht="13.5" thickBot="1">
      <c r="A46" s="405"/>
      <c r="B46" s="439"/>
      <c r="C46" s="439"/>
      <c r="D46" s="455" t="s">
        <v>9</v>
      </c>
      <c r="E46" s="815">
        <f>SUMIF(E21:E45,"&gt;0",E21:E45)</f>
        <v>0</v>
      </c>
      <c r="F46" s="457"/>
      <c r="G46" s="345"/>
      <c r="H46" s="439"/>
      <c r="I46" s="439"/>
      <c r="J46" s="439"/>
      <c r="K46" s="439"/>
    </row>
    <row r="47" spans="1:11">
      <c r="A47" s="405"/>
      <c r="B47" s="439"/>
      <c r="C47" s="439"/>
      <c r="D47" s="439"/>
      <c r="E47" s="439"/>
      <c r="F47" s="439"/>
      <c r="G47" s="345"/>
      <c r="H47" s="439"/>
      <c r="I47" s="439"/>
      <c r="J47" s="439"/>
      <c r="K47" s="439"/>
    </row>
    <row r="48" spans="1:11">
      <c r="A48" s="405"/>
      <c r="B48" s="439"/>
      <c r="C48" s="439"/>
      <c r="D48" s="439"/>
      <c r="E48" s="439"/>
      <c r="F48" s="439"/>
      <c r="G48" s="345"/>
      <c r="H48" s="439"/>
      <c r="I48" s="439"/>
      <c r="J48" s="439"/>
      <c r="K48" s="439"/>
    </row>
    <row r="49" spans="1:11">
      <c r="A49" s="405"/>
      <c r="B49" s="439"/>
      <c r="C49" s="439"/>
      <c r="D49" s="439"/>
      <c r="E49" s="439"/>
      <c r="F49" s="439"/>
      <c r="G49" s="345"/>
      <c r="H49" s="439"/>
      <c r="I49" s="439"/>
      <c r="J49" s="439"/>
      <c r="K49" s="439"/>
    </row>
    <row r="50" spans="1:11">
      <c r="A50" s="405"/>
      <c r="B50" s="405"/>
      <c r="C50" s="405"/>
      <c r="D50" s="405"/>
      <c r="E50" s="405"/>
      <c r="F50" s="405"/>
      <c r="G50" s="345"/>
      <c r="H50" s="439"/>
      <c r="I50" s="439"/>
      <c r="J50" s="439"/>
      <c r="K50" s="439"/>
    </row>
    <row r="51" spans="1:11">
      <c r="A51" s="405"/>
      <c r="G51" s="345"/>
      <c r="H51" s="439"/>
      <c r="I51" s="439"/>
      <c r="J51" s="439"/>
      <c r="K51" s="439"/>
    </row>
    <row r="52" spans="1:11">
      <c r="A52" s="405"/>
      <c r="G52" s="345"/>
      <c r="H52" s="439"/>
      <c r="I52" s="439"/>
      <c r="J52" s="439"/>
      <c r="K52" s="441"/>
    </row>
    <row r="53" spans="1:11">
      <c r="A53" s="405"/>
      <c r="G53" s="345"/>
      <c r="H53" s="439"/>
      <c r="I53" s="439"/>
      <c r="J53" s="439"/>
      <c r="K53" s="439"/>
    </row>
    <row r="54" spans="1:11">
      <c r="A54" s="405"/>
      <c r="G54" s="345"/>
      <c r="H54" s="405"/>
      <c r="I54" s="405"/>
      <c r="J54" s="405"/>
      <c r="K54" s="405"/>
    </row>
    <row r="55" spans="1:11">
      <c r="A55" s="405"/>
      <c r="G55" s="457"/>
      <c r="H55" s="405"/>
      <c r="I55" s="405"/>
      <c r="J55" s="405"/>
      <c r="K55" s="405"/>
    </row>
    <row r="56" spans="1:11">
      <c r="A56" s="405"/>
      <c r="G56" s="439"/>
    </row>
    <row r="57" spans="1:11">
      <c r="A57" s="405"/>
      <c r="G57" s="439"/>
    </row>
    <row r="58" spans="1:11">
      <c r="A58" s="405"/>
      <c r="G58" s="439"/>
    </row>
    <row r="59" spans="1:11">
      <c r="A59" s="405"/>
      <c r="G59" s="405"/>
    </row>
    <row r="60" spans="1:11">
      <c r="A60" s="405"/>
      <c r="G60" s="405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644" priority="11" operator="equal">
      <formula>"ДА"</formula>
    </cfRule>
    <cfRule type="cellIs" dxfId="643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642" priority="10" operator="greaterThan">
      <formula>0</formula>
    </cfRule>
  </conditionalFormatting>
  <conditionalFormatting sqref="E46">
    <cfRule type="cellIs" dxfId="641" priority="8" operator="greaterThan">
      <formula>0</formula>
    </cfRule>
    <cfRule type="cellIs" dxfId="640" priority="9" operator="greaterThan">
      <formula>0</formula>
    </cfRule>
  </conditionalFormatting>
  <conditionalFormatting sqref="C2:C18">
    <cfRule type="cellIs" dxfId="639" priority="6" operator="greaterThan">
      <formula>0</formula>
    </cfRule>
  </conditionalFormatting>
  <conditionalFormatting sqref="C24:E24">
    <cfRule type="cellIs" dxfId="638" priority="3" operator="greaterThan">
      <formula>0</formula>
    </cfRule>
  </conditionalFormatting>
  <conditionalFormatting sqref="C43:C45">
    <cfRule type="cellIs" dxfId="637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1050" t="s">
        <v>577</v>
      </c>
      <c r="B1" s="1061"/>
      <c r="C1" s="1061"/>
      <c r="D1" s="1061"/>
      <c r="E1" s="1062"/>
    </row>
    <row r="2" spans="1:12" ht="14.25">
      <c r="A2" s="8" t="s">
        <v>3</v>
      </c>
      <c r="B2" s="12"/>
      <c r="C2" s="13"/>
      <c r="D2" s="13"/>
      <c r="E2" s="14"/>
      <c r="G2" s="1052" t="s">
        <v>122</v>
      </c>
      <c r="H2" s="1053"/>
      <c r="I2" s="1053"/>
      <c r="J2" s="1053"/>
      <c r="K2" s="1053"/>
      <c r="L2" s="1054"/>
    </row>
    <row r="3" spans="1:12" ht="12" thickBot="1">
      <c r="A3" s="9" t="s">
        <v>10</v>
      </c>
      <c r="B3" s="864">
        <v>1.5</v>
      </c>
      <c r="C3" s="13"/>
      <c r="D3" s="13"/>
      <c r="E3" s="14"/>
      <c r="G3" s="1055"/>
      <c r="H3" s="1056"/>
      <c r="I3" s="1056"/>
      <c r="J3" s="1056"/>
      <c r="K3" s="1056"/>
      <c r="L3" s="1057"/>
    </row>
    <row r="4" spans="1:12" ht="12" thickBot="1">
      <c r="A4" s="104" t="s">
        <v>1</v>
      </c>
      <c r="B4" s="866">
        <v>1</v>
      </c>
      <c r="C4" s="13"/>
      <c r="D4" s="13"/>
      <c r="E4" s="14"/>
    </row>
    <row r="5" spans="1:12" ht="12" thickBot="1">
      <c r="A5" s="105" t="s">
        <v>123</v>
      </c>
      <c r="B5" s="867">
        <v>6</v>
      </c>
      <c r="C5" s="124"/>
      <c r="D5" s="13"/>
      <c r="E5" s="14"/>
    </row>
    <row r="6" spans="1:12">
      <c r="A6" s="106" t="s">
        <v>102</v>
      </c>
      <c r="B6" s="867">
        <v>1</v>
      </c>
      <c r="C6" s="13" t="s">
        <v>101</v>
      </c>
      <c r="D6" s="13"/>
      <c r="E6" s="14"/>
    </row>
    <row r="7" spans="1:12">
      <c r="A7" s="149" t="s">
        <v>571</v>
      </c>
      <c r="B7" s="868">
        <v>1</v>
      </c>
      <c r="C7" s="13"/>
      <c r="D7" s="13"/>
      <c r="E7" s="14"/>
    </row>
    <row r="8" spans="1:12">
      <c r="A8" s="9" t="s">
        <v>130</v>
      </c>
      <c r="B8" s="868">
        <v>1</v>
      </c>
      <c r="C8" s="13"/>
      <c r="D8" s="13"/>
      <c r="E8" s="14"/>
    </row>
    <row r="9" spans="1:12" ht="12" thickBot="1">
      <c r="A9" s="9" t="s">
        <v>568</v>
      </c>
      <c r="B9" s="869">
        <v>1</v>
      </c>
      <c r="C9" s="13"/>
      <c r="D9" s="13"/>
      <c r="E9" s="14"/>
    </row>
    <row r="10" spans="1:12" ht="12" thickBot="1">
      <c r="A10" s="10" t="s">
        <v>99</v>
      </c>
      <c r="B10" s="865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2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88">
        <f>B5</f>
        <v>6</v>
      </c>
      <c r="E13" s="15">
        <f t="shared" ref="E13:E27" si="0">D13*C13</f>
        <v>0</v>
      </c>
    </row>
    <row r="14" spans="1:12">
      <c r="A14" s="103" t="s">
        <v>103</v>
      </c>
      <c r="B14" s="121"/>
      <c r="C14" s="88"/>
      <c r="D14" s="88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88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88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88">
        <f>IF(B6=1,B3+2*B4+2*0.1,2*B4)*B5</f>
        <v>22.200000000000003</v>
      </c>
      <c r="E17" s="15">
        <f t="shared" si="0"/>
        <v>0</v>
      </c>
    </row>
    <row r="18" spans="1:6">
      <c r="A18" s="23" t="s">
        <v>565</v>
      </c>
      <c r="B18" s="24"/>
      <c r="C18" s="25"/>
      <c r="D18" s="88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88">
        <f>4*B5</f>
        <v>24</v>
      </c>
      <c r="E19" s="15">
        <f t="shared" si="0"/>
        <v>0</v>
      </c>
    </row>
    <row r="20" spans="1:6">
      <c r="A20" s="50" t="s">
        <v>105</v>
      </c>
      <c r="B20" s="280"/>
      <c r="C20" s="280"/>
      <c r="D20" s="281">
        <f>IF(B6=1,B3*B5,0)</f>
        <v>9</v>
      </c>
      <c r="E20" s="15">
        <f t="shared" si="0"/>
        <v>0</v>
      </c>
    </row>
    <row r="21" spans="1:6">
      <c r="A21" s="50" t="s">
        <v>106</v>
      </c>
      <c r="B21" s="280"/>
      <c r="C21" s="280"/>
      <c r="D21" s="281">
        <f>IF(B6=1,B5,0)</f>
        <v>6</v>
      </c>
      <c r="E21" s="15">
        <f t="shared" si="0"/>
        <v>0</v>
      </c>
    </row>
    <row r="22" spans="1:6">
      <c r="A22" s="50" t="s">
        <v>107</v>
      </c>
      <c r="B22" s="280"/>
      <c r="C22" s="280"/>
      <c r="D22" s="281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88">
        <f>B3*B5</f>
        <v>9</v>
      </c>
      <c r="E23" s="15">
        <f t="shared" si="0"/>
        <v>0</v>
      </c>
    </row>
    <row r="24" spans="1:6">
      <c r="A24" s="23" t="s">
        <v>566</v>
      </c>
      <c r="B24" s="24"/>
      <c r="C24" s="29"/>
      <c r="D24" s="88">
        <f>B5</f>
        <v>6</v>
      </c>
      <c r="E24" s="15">
        <f t="shared" si="0"/>
        <v>0</v>
      </c>
    </row>
    <row r="25" spans="1:6">
      <c r="A25" s="23" t="s">
        <v>570</v>
      </c>
      <c r="B25" s="125"/>
      <c r="C25" s="126"/>
      <c r="D25" s="127">
        <f>B7</f>
        <v>1</v>
      </c>
      <c r="E25" s="15">
        <f t="shared" si="0"/>
        <v>0</v>
      </c>
    </row>
    <row r="26" spans="1:6">
      <c r="A26" s="23" t="s">
        <v>569</v>
      </c>
      <c r="B26" s="125"/>
      <c r="C26" s="126"/>
      <c r="D26" s="127">
        <f>B8</f>
        <v>1</v>
      </c>
      <c r="E26" s="15">
        <f t="shared" si="0"/>
        <v>0</v>
      </c>
    </row>
    <row r="27" spans="1:6" ht="12" thickBot="1">
      <c r="A27" s="24" t="s">
        <v>567</v>
      </c>
      <c r="B27" s="125"/>
      <c r="C27" s="126"/>
      <c r="D27" s="127">
        <f>B9</f>
        <v>1</v>
      </c>
      <c r="E27" s="15">
        <f t="shared" si="0"/>
        <v>0</v>
      </c>
    </row>
    <row r="28" spans="1:6" ht="12" thickBot="1">
      <c r="A28" s="1063" t="s">
        <v>22</v>
      </c>
      <c r="B28" s="1064"/>
      <c r="C28" s="1064"/>
      <c r="D28" s="1064"/>
      <c r="E28" s="1065"/>
      <c r="F28" s="16"/>
    </row>
    <row r="29" spans="1:6">
      <c r="A29" s="1066" t="s">
        <v>35</v>
      </c>
      <c r="B29" s="1067"/>
      <c r="C29" s="1067"/>
      <c r="D29" s="1067"/>
      <c r="E29" s="1068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0">
        <f>D30*C30</f>
        <v>0</v>
      </c>
      <c r="F30" s="16"/>
    </row>
    <row r="31" spans="1:6">
      <c r="D31" s="283" t="s">
        <v>116</v>
      </c>
      <c r="E31" s="107">
        <f>SUM(E13:E30)</f>
        <v>0</v>
      </c>
    </row>
    <row r="32" spans="1:6">
      <c r="D32" s="282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05"/>
      <c r="B1" s="1229"/>
      <c r="C1" s="1230"/>
      <c r="D1" s="1230"/>
      <c r="E1" s="405"/>
      <c r="F1" s="405"/>
      <c r="G1" s="405"/>
      <c r="H1" s="405"/>
      <c r="I1" s="405"/>
      <c r="J1" s="405"/>
      <c r="K1" s="405"/>
      <c r="L1" s="405"/>
    </row>
    <row r="2" spans="1:15" ht="12" customHeight="1" thickBot="1">
      <c r="A2" s="405"/>
      <c r="B2" s="407" t="s">
        <v>10</v>
      </c>
      <c r="C2" s="458">
        <v>0</v>
      </c>
      <c r="D2" s="1231" t="s">
        <v>595</v>
      </c>
      <c r="E2" s="1232"/>
      <c r="F2" s="1233"/>
      <c r="G2" s="481"/>
      <c r="H2" s="409" t="s">
        <v>485</v>
      </c>
      <c r="I2" s="410" t="s">
        <v>604</v>
      </c>
      <c r="J2" s="476" t="s">
        <v>4</v>
      </c>
      <c r="K2" s="477" t="s">
        <v>8</v>
      </c>
      <c r="L2" s="482"/>
    </row>
    <row r="3" spans="1:15" ht="12.75" thickBot="1">
      <c r="A3" s="405"/>
      <c r="B3" s="412" t="s">
        <v>1</v>
      </c>
      <c r="C3" s="459">
        <v>0</v>
      </c>
      <c r="D3" s="1234"/>
      <c r="E3" s="1235"/>
      <c r="F3" s="1236"/>
      <c r="G3" s="481"/>
      <c r="H3" s="413" t="s">
        <v>372</v>
      </c>
      <c r="I3" s="414" t="str">
        <f>IF(AND($C$7+$C$8=1,$C$9+$C$10+$C$11+$C$12=0,$C$13=2),"ДА","НЕТ")</f>
        <v>НЕТ</v>
      </c>
      <c r="J3" s="318"/>
      <c r="K3" s="319">
        <f>IF(I3="ДА",($C$4+$C$5+$C$6)*J3,0)</f>
        <v>0</v>
      </c>
      <c r="L3" s="482"/>
    </row>
    <row r="4" spans="1:15" ht="12" customHeight="1">
      <c r="A4" s="405"/>
      <c r="B4" s="407" t="s">
        <v>530</v>
      </c>
      <c r="C4" s="464">
        <v>0</v>
      </c>
      <c r="D4" s="1231" t="s">
        <v>597</v>
      </c>
      <c r="E4" s="1232"/>
      <c r="F4" s="1233"/>
      <c r="G4" s="483"/>
      <c r="H4" s="416" t="s">
        <v>373</v>
      </c>
      <c r="I4" s="414" t="str">
        <f>IF(AND($C$7+$C$8=1,$C$9+$C$10+$C$11+$C$12=0,$C$13=2),"ДА","НЕТ")</f>
        <v>НЕТ</v>
      </c>
      <c r="J4" s="395"/>
      <c r="K4" s="319">
        <f t="shared" ref="K4:K21" si="0">IF(I4="ДА",($C$4+$C$5+$C$6)*J4,0)</f>
        <v>0</v>
      </c>
      <c r="L4" s="484"/>
    </row>
    <row r="5" spans="1:15" ht="12">
      <c r="A5" s="405"/>
      <c r="B5" s="419" t="s">
        <v>396</v>
      </c>
      <c r="C5" s="462"/>
      <c r="D5" s="1251"/>
      <c r="E5" s="1237"/>
      <c r="F5" s="1238"/>
      <c r="G5" s="439"/>
      <c r="H5" s="416" t="s">
        <v>374</v>
      </c>
      <c r="I5" s="414" t="str">
        <f>IF(AND($C$7+$C$8=1,$C$9+$C$10+$C$11+$C$12=0,$C$13=2),"ДА","НЕТ")</f>
        <v>НЕТ</v>
      </c>
      <c r="J5" s="395"/>
      <c r="K5" s="319">
        <f t="shared" si="0"/>
        <v>0</v>
      </c>
      <c r="L5" s="405"/>
    </row>
    <row r="6" spans="1:15" ht="12.75" thickBot="1">
      <c r="A6" s="405"/>
      <c r="B6" s="440" t="s">
        <v>392</v>
      </c>
      <c r="C6" s="466">
        <v>0</v>
      </c>
      <c r="D6" s="1251"/>
      <c r="E6" s="1237"/>
      <c r="F6" s="1238"/>
      <c r="G6" s="485"/>
      <c r="H6" s="418" t="s">
        <v>376</v>
      </c>
      <c r="I6" s="414" t="str">
        <f>IF(AND($C$7+$C$8=1,$C$9+$C$10+$C$11+$C$12=0,$C$13=3),"ДА","НЕТ")</f>
        <v>НЕТ</v>
      </c>
      <c r="J6" s="322"/>
      <c r="K6" s="319">
        <f t="shared" si="0"/>
        <v>0</v>
      </c>
      <c r="L6" s="486"/>
      <c r="M6" s="248"/>
      <c r="N6" s="248"/>
      <c r="O6" s="248"/>
    </row>
    <row r="7" spans="1:15" ht="12" customHeight="1">
      <c r="A7" s="405"/>
      <c r="B7" s="407" t="s">
        <v>521</v>
      </c>
      <c r="C7" s="464">
        <v>0</v>
      </c>
      <c r="D7" s="420" t="s">
        <v>287</v>
      </c>
      <c r="E7" s="421" t="s">
        <v>255</v>
      </c>
      <c r="F7" s="1239" t="s">
        <v>596</v>
      </c>
      <c r="G7" s="485"/>
      <c r="H7" s="416" t="s">
        <v>489</v>
      </c>
      <c r="I7" s="414" t="str">
        <f>IF(AND($C$9=1,$C$7+$C$8+$C$10+$C$11+$C$12=0,$C$13=1),"ДА","НЕТ")</f>
        <v>НЕТ</v>
      </c>
      <c r="J7" s="395"/>
      <c r="K7" s="319">
        <f t="shared" si="0"/>
        <v>0</v>
      </c>
      <c r="L7" s="486"/>
      <c r="M7" s="248"/>
      <c r="N7" s="248"/>
      <c r="O7" s="248"/>
    </row>
    <row r="8" spans="1:15" ht="12">
      <c r="A8" s="405"/>
      <c r="B8" s="419" t="s">
        <v>490</v>
      </c>
      <c r="C8" s="462"/>
      <c r="D8" s="424" t="s">
        <v>287</v>
      </c>
      <c r="E8" s="425" t="s">
        <v>255</v>
      </c>
      <c r="F8" s="1240"/>
      <c r="G8" s="439"/>
      <c r="H8" s="418" t="s">
        <v>486</v>
      </c>
      <c r="I8" s="414" t="str">
        <f>IF(AND($C$9=1,$C$7+$C$8+$C$10+$C$11+$C$12=0,$C$13=3),"ДА","НЕТ")</f>
        <v>НЕТ</v>
      </c>
      <c r="J8" s="322"/>
      <c r="K8" s="319">
        <f t="shared" si="0"/>
        <v>0</v>
      </c>
      <c r="L8" s="405"/>
    </row>
    <row r="9" spans="1:15" ht="12">
      <c r="A9" s="405"/>
      <c r="B9" s="417" t="s">
        <v>491</v>
      </c>
      <c r="C9" s="461">
        <v>0</v>
      </c>
      <c r="D9" s="424" t="s">
        <v>287</v>
      </c>
      <c r="E9" s="424" t="s">
        <v>255</v>
      </c>
      <c r="F9" s="1240"/>
      <c r="G9" s="439"/>
      <c r="H9" s="418" t="s">
        <v>487</v>
      </c>
      <c r="I9" s="414" t="str">
        <f>IF(AND($C$9=1,$C$7+$C$8+$C$10+$C$11+$C$12=0,$C$13=2),"ДА","НЕТ")</f>
        <v>НЕТ</v>
      </c>
      <c r="J9" s="322"/>
      <c r="K9" s="319">
        <f t="shared" si="0"/>
        <v>0</v>
      </c>
      <c r="L9" s="405"/>
    </row>
    <row r="10" spans="1:15" ht="12">
      <c r="A10" s="405"/>
      <c r="B10" s="419" t="s">
        <v>522</v>
      </c>
      <c r="C10" s="462">
        <v>0</v>
      </c>
      <c r="D10" s="422" t="s">
        <v>287</v>
      </c>
      <c r="E10" s="423" t="s">
        <v>255</v>
      </c>
      <c r="F10" s="1240"/>
      <c r="G10" s="439"/>
      <c r="H10" s="418" t="s">
        <v>488</v>
      </c>
      <c r="I10" s="414" t="str">
        <f>IF(AND($C$9=1,$C$7+$C$8+$C$10+$C$11+$C$12=0,$C$13=2),"ДА","НЕТ")</f>
        <v>НЕТ</v>
      </c>
      <c r="J10" s="322"/>
      <c r="K10" s="319">
        <f t="shared" si="0"/>
        <v>0</v>
      </c>
      <c r="L10" s="405"/>
    </row>
    <row r="11" spans="1:15" ht="12">
      <c r="A11" s="405"/>
      <c r="B11" s="419" t="s">
        <v>492</v>
      </c>
      <c r="C11" s="462">
        <v>0</v>
      </c>
      <c r="D11" s="424" t="s">
        <v>287</v>
      </c>
      <c r="E11" s="425" t="s">
        <v>255</v>
      </c>
      <c r="F11" s="1240"/>
      <c r="G11" s="441"/>
      <c r="H11" s="418" t="s">
        <v>494</v>
      </c>
      <c r="I11" s="414" t="str">
        <f>IF(AND($C$9=1,$C$7+$C$8+$C$10+$C$11+$C$12=0,$C$13=2),"ДА","НЕТ")</f>
        <v>НЕТ</v>
      </c>
      <c r="J11" s="322"/>
      <c r="K11" s="319">
        <f t="shared" si="0"/>
        <v>0</v>
      </c>
      <c r="L11" s="489"/>
      <c r="M11" s="69"/>
      <c r="N11" s="69"/>
    </row>
    <row r="12" spans="1:15" ht="12.75" thickBot="1">
      <c r="A12" s="405"/>
      <c r="B12" s="490" t="s">
        <v>493</v>
      </c>
      <c r="C12" s="472">
        <v>0</v>
      </c>
      <c r="D12" s="491" t="s">
        <v>287</v>
      </c>
      <c r="E12" s="492" t="s">
        <v>255</v>
      </c>
      <c r="F12" s="1241"/>
      <c r="G12" s="493"/>
      <c r="H12" s="418" t="s">
        <v>626</v>
      </c>
      <c r="I12" s="414" t="str">
        <f>IF(AND($C$10=1,$C$8+$C$9+$C$7+$C$11+$C$12=0,$C$13=2),"ДА","НЕТ")</f>
        <v>НЕТ</v>
      </c>
      <c r="J12" s="322"/>
      <c r="K12" s="319">
        <f t="shared" si="0"/>
        <v>0</v>
      </c>
      <c r="L12" s="489"/>
      <c r="M12" s="69"/>
      <c r="N12" s="69"/>
    </row>
    <row r="13" spans="1:15" ht="12.75" thickBot="1">
      <c r="A13" s="405"/>
      <c r="B13" s="429" t="s">
        <v>589</v>
      </c>
      <c r="C13" s="465">
        <v>0</v>
      </c>
      <c r="D13" s="471" t="s">
        <v>619</v>
      </c>
      <c r="E13" s="434" t="s">
        <v>620</v>
      </c>
      <c r="F13" s="436" t="s">
        <v>621</v>
      </c>
      <c r="G13" s="493"/>
      <c r="H13" s="418" t="s">
        <v>518</v>
      </c>
      <c r="I13" s="414" t="str">
        <f>IF(AND($C$10=1,$C$8+$C$9+$C$7+$C$11+$C$12=0,$C$13=2),"ДА","НЕТ")</f>
        <v>НЕТ</v>
      </c>
      <c r="J13" s="322"/>
      <c r="K13" s="319">
        <f t="shared" si="0"/>
        <v>0</v>
      </c>
      <c r="L13" s="489"/>
      <c r="M13" s="69"/>
      <c r="N13" s="69"/>
    </row>
    <row r="14" spans="1:15" ht="12.75" thickBot="1">
      <c r="A14" s="405"/>
      <c r="B14" s="429" t="s">
        <v>722</v>
      </c>
      <c r="C14" s="465">
        <v>0</v>
      </c>
      <c r="D14" s="491" t="s">
        <v>287</v>
      </c>
      <c r="E14" s="492" t="s">
        <v>255</v>
      </c>
      <c r="F14" s="621"/>
      <c r="G14" s="439"/>
      <c r="H14" s="418" t="s">
        <v>519</v>
      </c>
      <c r="I14" s="414" t="str">
        <f>IF(AND($C$10=1,$C$8+$C$9+$C$7+$C$11+$C$12=0,$C$13=1),"ДА","НЕТ")</f>
        <v>НЕТ</v>
      </c>
      <c r="J14" s="322"/>
      <c r="K14" s="319">
        <f t="shared" si="0"/>
        <v>0</v>
      </c>
      <c r="L14" s="405"/>
    </row>
    <row r="15" spans="1:15" ht="12" customHeight="1" thickBot="1">
      <c r="A15" s="405"/>
      <c r="B15" s="429" t="s">
        <v>358</v>
      </c>
      <c r="C15" s="465">
        <v>0</v>
      </c>
      <c r="D15" s="433" t="s">
        <v>622</v>
      </c>
      <c r="E15" s="434" t="s">
        <v>623</v>
      </c>
      <c r="F15" s="621"/>
      <c r="G15" s="439"/>
      <c r="H15" s="416" t="s">
        <v>379</v>
      </c>
      <c r="I15" s="414" t="str">
        <f>IF(AND($C$11=1,$C$7+$C$9+$C$10+$C$8+$C$12=0,$C$13=2),"ДА","НЕТ")</f>
        <v>НЕТ</v>
      </c>
      <c r="J15" s="325"/>
      <c r="K15" s="319">
        <f t="shared" si="0"/>
        <v>0</v>
      </c>
      <c r="L15" s="405"/>
    </row>
    <row r="16" spans="1:15" ht="12">
      <c r="A16" s="405"/>
      <c r="B16" s="407" t="s">
        <v>397</v>
      </c>
      <c r="C16" s="464">
        <v>0</v>
      </c>
      <c r="D16" s="424" t="s">
        <v>287</v>
      </c>
      <c r="E16" s="425" t="s">
        <v>255</v>
      </c>
      <c r="F16" s="1252" t="s">
        <v>597</v>
      </c>
      <c r="G16" s="439"/>
      <c r="H16" s="413" t="s">
        <v>381</v>
      </c>
      <c r="I16" s="414" t="str">
        <f>IF(AND($C$11=1,$C$7+$C$9+$C$10+$C$8+$C$12=0,$C$13=1),"ДА","НЕТ")</f>
        <v>НЕТ</v>
      </c>
      <c r="J16" s="325"/>
      <c r="K16" s="319">
        <f t="shared" si="0"/>
        <v>0</v>
      </c>
      <c r="L16" s="405"/>
    </row>
    <row r="17" spans="1:12" ht="12.75" thickBot="1">
      <c r="A17" s="489"/>
      <c r="B17" s="412" t="s">
        <v>398</v>
      </c>
      <c r="C17" s="463">
        <v>0</v>
      </c>
      <c r="D17" s="487" t="s">
        <v>287</v>
      </c>
      <c r="E17" s="488" t="s">
        <v>255</v>
      </c>
      <c r="F17" s="1253"/>
      <c r="G17" s="439"/>
      <c r="H17" s="413" t="s">
        <v>382</v>
      </c>
      <c r="I17" s="414" t="str">
        <f>IF(AND($C$11=1,$C$7+$C$9+$C$10+$C$8+$C$12=0,$C$13=3),"ДА","НЕТ")</f>
        <v>НЕТ</v>
      </c>
      <c r="J17" s="325"/>
      <c r="K17" s="319">
        <f t="shared" si="0"/>
        <v>0</v>
      </c>
      <c r="L17" s="405"/>
    </row>
    <row r="18" spans="1:12" ht="12">
      <c r="A18" s="489"/>
      <c r="B18" s="407" t="s">
        <v>147</v>
      </c>
      <c r="C18" s="464">
        <v>0</v>
      </c>
      <c r="D18" s="1242" t="s">
        <v>686</v>
      </c>
      <c r="E18" s="1243"/>
      <c r="F18" s="1244"/>
      <c r="G18" s="439"/>
      <c r="H18" s="413" t="s">
        <v>383</v>
      </c>
      <c r="I18" s="414" t="str">
        <f>IF(AND($C$12=1,$C$7+$C$8+$C$9+$C$10+$C$11=0,$C$13=1),"ДА","НЕТ")</f>
        <v>НЕТ</v>
      </c>
      <c r="J18" s="325"/>
      <c r="K18" s="319">
        <f t="shared" si="0"/>
        <v>0</v>
      </c>
      <c r="L18" s="405"/>
    </row>
    <row r="19" spans="1:12" ht="12">
      <c r="A19" s="489"/>
      <c r="B19" s="417" t="s">
        <v>146</v>
      </c>
      <c r="C19" s="461">
        <v>0</v>
      </c>
      <c r="D19" s="1245" t="s">
        <v>687</v>
      </c>
      <c r="E19" s="1246"/>
      <c r="F19" s="1247"/>
      <c r="G19" s="439"/>
      <c r="H19" s="416" t="s">
        <v>384</v>
      </c>
      <c r="I19" s="414" t="str">
        <f>IF(AND($C$12=1,$C$7+$C$8+$C$9+$C$10+$C$11=0,$C$13=1),"ДА","НЕТ")</f>
        <v>НЕТ</v>
      </c>
      <c r="J19" s="325"/>
      <c r="K19" s="319">
        <f t="shared" si="0"/>
        <v>0</v>
      </c>
      <c r="L19" s="405"/>
    </row>
    <row r="20" spans="1:12" ht="12.75" thickBot="1">
      <c r="A20" s="489"/>
      <c r="B20" s="412" t="s">
        <v>143</v>
      </c>
      <c r="C20" s="463">
        <v>0</v>
      </c>
      <c r="D20" s="1248" t="s">
        <v>688</v>
      </c>
      <c r="E20" s="1249"/>
      <c r="F20" s="1250"/>
      <c r="G20" s="439"/>
      <c r="H20" s="413" t="s">
        <v>388</v>
      </c>
      <c r="I20" s="414" t="str">
        <f>IF(AND($C$12=1,$C$7+$C$8+$C$9+$C$10+$C$11=0,$C$13=2),"ДА","НЕТ")</f>
        <v>НЕТ</v>
      </c>
      <c r="J20" s="325"/>
      <c r="K20" s="319">
        <f t="shared" si="0"/>
        <v>0</v>
      </c>
      <c r="L20" s="405"/>
    </row>
    <row r="21" spans="1:12" ht="12.75" thickBot="1">
      <c r="A21" s="489"/>
      <c r="B21" s="408"/>
      <c r="C21" s="408"/>
      <c r="D21" s="408"/>
      <c r="E21" s="441"/>
      <c r="F21" s="441"/>
      <c r="G21" s="439"/>
      <c r="H21" s="437" t="s">
        <v>389</v>
      </c>
      <c r="I21" s="438" t="str">
        <f>IF(AND($C$12=1,$C$7+$C$8+$C$9+$C$10+$C$11=0,$C$13=2),"ДА","НЕТ")</f>
        <v>НЕТ</v>
      </c>
      <c r="J21" s="332"/>
      <c r="K21" s="475">
        <f t="shared" si="0"/>
        <v>0</v>
      </c>
      <c r="L21" s="405"/>
    </row>
    <row r="22" spans="1:12" ht="12" thickBot="1">
      <c r="A22" s="405"/>
      <c r="B22" s="408"/>
      <c r="C22" s="408"/>
      <c r="D22" s="408"/>
      <c r="E22" s="441"/>
      <c r="F22" s="441"/>
      <c r="G22" s="439"/>
      <c r="H22" s="439"/>
      <c r="I22" s="439"/>
      <c r="J22" s="439"/>
      <c r="K22" s="439"/>
      <c r="L22" s="405"/>
    </row>
    <row r="23" spans="1:12" ht="13.5" thickBot="1">
      <c r="A23" s="405"/>
      <c r="B23" s="494" t="s">
        <v>5</v>
      </c>
      <c r="C23" s="495" t="s">
        <v>0</v>
      </c>
      <c r="D23" s="496" t="s">
        <v>4</v>
      </c>
      <c r="E23" s="497" t="s">
        <v>8</v>
      </c>
      <c r="F23" s="448"/>
      <c r="G23" s="439"/>
      <c r="H23" s="439"/>
      <c r="I23" s="439"/>
      <c r="J23" s="439"/>
      <c r="K23" s="439"/>
      <c r="L23" s="405"/>
    </row>
    <row r="24" spans="1:12">
      <c r="A24" s="405"/>
      <c r="B24" s="498" t="s">
        <v>399</v>
      </c>
      <c r="C24" s="478">
        <f>C16*2*(C4+C5+C6)</f>
        <v>0</v>
      </c>
      <c r="D24" s="479"/>
      <c r="E24" s="480">
        <f>C24*D24</f>
        <v>0</v>
      </c>
      <c r="F24" s="345"/>
      <c r="G24" s="439"/>
      <c r="H24" s="439"/>
      <c r="I24" s="439"/>
      <c r="J24" s="439"/>
      <c r="K24" s="439"/>
      <c r="L24" s="405"/>
    </row>
    <row r="25" spans="1:12">
      <c r="A25" s="405"/>
      <c r="B25" s="449" t="s">
        <v>400</v>
      </c>
      <c r="C25" s="342">
        <f>IF(C16=0,C17*(C4+C5+C6),0)</f>
        <v>0</v>
      </c>
      <c r="D25" s="353"/>
      <c r="E25" s="344">
        <f t="shared" ref="E25:E57" si="1">C25*D25</f>
        <v>0</v>
      </c>
      <c r="F25" s="345"/>
      <c r="G25" s="441"/>
      <c r="H25" s="439"/>
      <c r="I25" s="439"/>
      <c r="J25" s="439"/>
      <c r="K25" s="439"/>
      <c r="L25" s="405"/>
    </row>
    <row r="26" spans="1:12">
      <c r="A26" s="405"/>
      <c r="B26" s="451" t="s">
        <v>479</v>
      </c>
      <c r="C26" s="347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53"/>
      <c r="E26" s="344">
        <f t="shared" si="1"/>
        <v>0</v>
      </c>
      <c r="F26" s="345"/>
      <c r="G26" s="439"/>
      <c r="H26" s="439"/>
      <c r="I26" s="439"/>
      <c r="J26" s="439"/>
      <c r="K26" s="439"/>
      <c r="L26" s="405"/>
    </row>
    <row r="27" spans="1:12">
      <c r="A27" s="405"/>
      <c r="B27" s="341" t="s">
        <v>723</v>
      </c>
      <c r="C27" s="347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53"/>
      <c r="E27" s="344">
        <f t="shared" si="1"/>
        <v>0</v>
      </c>
      <c r="F27" s="345"/>
      <c r="G27" s="439"/>
      <c r="H27" s="439"/>
      <c r="I27" s="439"/>
      <c r="J27" s="439"/>
      <c r="K27" s="439"/>
      <c r="L27" s="405"/>
    </row>
    <row r="28" spans="1:12">
      <c r="A28" s="405"/>
      <c r="B28" s="451" t="s">
        <v>447</v>
      </c>
      <c r="C28" s="347">
        <f>IF(C15=1,(C4+C6+C5)*2,0)</f>
        <v>0</v>
      </c>
      <c r="D28" s="353"/>
      <c r="E28" s="344">
        <f t="shared" si="1"/>
        <v>0</v>
      </c>
      <c r="F28" s="345"/>
      <c r="G28" s="408"/>
      <c r="H28" s="439"/>
      <c r="I28" s="439"/>
      <c r="J28" s="439"/>
      <c r="K28" s="439"/>
      <c r="L28" s="405"/>
    </row>
    <row r="29" spans="1:12">
      <c r="A29" s="405"/>
      <c r="B29" s="451" t="s">
        <v>448</v>
      </c>
      <c r="C29" s="347">
        <f>IF(C15=2,(C4+C6+C5)*2,0)</f>
        <v>0</v>
      </c>
      <c r="D29" s="353"/>
      <c r="E29" s="344">
        <f t="shared" si="1"/>
        <v>0</v>
      </c>
      <c r="F29" s="345"/>
      <c r="G29" s="439"/>
      <c r="H29" s="439"/>
      <c r="I29" s="439"/>
      <c r="J29" s="439"/>
      <c r="K29" s="439"/>
      <c r="L29" s="405"/>
    </row>
    <row r="30" spans="1:12">
      <c r="A30" s="405"/>
      <c r="B30" s="449" t="s">
        <v>627</v>
      </c>
      <c r="C30" s="350">
        <f>C28</f>
        <v>0</v>
      </c>
      <c r="D30" s="353"/>
      <c r="E30" s="344">
        <f t="shared" si="1"/>
        <v>0</v>
      </c>
      <c r="F30" s="345"/>
      <c r="G30" s="441"/>
      <c r="H30" s="439"/>
      <c r="I30" s="439"/>
      <c r="J30" s="439"/>
      <c r="K30" s="439"/>
      <c r="L30" s="405"/>
    </row>
    <row r="31" spans="1:12">
      <c r="A31" s="405"/>
      <c r="B31" s="451" t="s">
        <v>628</v>
      </c>
      <c r="C31" s="347">
        <f>C29</f>
        <v>0</v>
      </c>
      <c r="D31" s="353"/>
      <c r="E31" s="344">
        <f t="shared" si="1"/>
        <v>0</v>
      </c>
      <c r="F31" s="345"/>
      <c r="G31" s="439"/>
      <c r="H31" s="439"/>
      <c r="I31" s="439"/>
      <c r="J31" s="439"/>
      <c r="K31" s="439"/>
      <c r="L31" s="405"/>
    </row>
    <row r="32" spans="1:12">
      <c r="A32" s="405"/>
      <c r="B32" s="451" t="s">
        <v>477</v>
      </c>
      <c r="C32" s="347">
        <f>(C4+C6+C5)*C2</f>
        <v>0</v>
      </c>
      <c r="D32" s="353"/>
      <c r="E32" s="344">
        <f t="shared" si="1"/>
        <v>0</v>
      </c>
      <c r="F32" s="345"/>
      <c r="G32" s="408"/>
      <c r="H32" s="439"/>
      <c r="I32" s="439"/>
      <c r="J32" s="439"/>
      <c r="K32" s="439"/>
      <c r="L32" s="405"/>
    </row>
    <row r="33" spans="1:12">
      <c r="A33" s="405"/>
      <c r="B33" s="449" t="s">
        <v>474</v>
      </c>
      <c r="C33" s="342">
        <f>C5*C2</f>
        <v>0</v>
      </c>
      <c r="D33" s="353"/>
      <c r="E33" s="344">
        <f t="shared" si="1"/>
        <v>0</v>
      </c>
      <c r="F33" s="345"/>
      <c r="G33" s="408"/>
      <c r="H33" s="439"/>
      <c r="I33" s="439"/>
      <c r="J33" s="439"/>
      <c r="K33" s="439"/>
      <c r="L33" s="405"/>
    </row>
    <row r="34" spans="1:12">
      <c r="A34" s="405"/>
      <c r="B34" s="451" t="s">
        <v>401</v>
      </c>
      <c r="C34" s="347">
        <f>(C16+C17)*C2*(C4+C5+C6)</f>
        <v>0</v>
      </c>
      <c r="D34" s="353"/>
      <c r="E34" s="344">
        <f t="shared" si="1"/>
        <v>0</v>
      </c>
      <c r="F34" s="345"/>
      <c r="G34" s="408"/>
      <c r="H34" s="439"/>
      <c r="I34" s="439"/>
      <c r="J34" s="439"/>
      <c r="K34" s="439"/>
      <c r="L34" s="405"/>
    </row>
    <row r="35" spans="1:12">
      <c r="A35" s="405"/>
      <c r="B35" s="451" t="s">
        <v>402</v>
      </c>
      <c r="C35" s="347">
        <f>C17*C2*(C4+C5+C6)</f>
        <v>0</v>
      </c>
      <c r="D35" s="353"/>
      <c r="E35" s="344">
        <f t="shared" si="1"/>
        <v>0</v>
      </c>
      <c r="F35" s="345"/>
      <c r="G35" s="408"/>
      <c r="H35" s="439"/>
      <c r="I35" s="439"/>
      <c r="J35" s="439"/>
      <c r="K35" s="439"/>
      <c r="L35" s="405"/>
    </row>
    <row r="36" spans="1:12">
      <c r="A36" s="405"/>
      <c r="B36" s="449" t="s">
        <v>525</v>
      </c>
      <c r="C36" s="347">
        <f>C2*C4</f>
        <v>0</v>
      </c>
      <c r="D36" s="353"/>
      <c r="E36" s="344">
        <f t="shared" si="1"/>
        <v>0</v>
      </c>
      <c r="F36" s="345"/>
      <c r="G36" s="439"/>
      <c r="H36" s="439"/>
      <c r="I36" s="439"/>
      <c r="J36" s="439"/>
      <c r="K36" s="439"/>
      <c r="L36" s="405"/>
    </row>
    <row r="37" spans="1:12">
      <c r="A37" s="405"/>
      <c r="B37" s="449" t="s">
        <v>451</v>
      </c>
      <c r="C37" s="347">
        <f>C2*C5</f>
        <v>0</v>
      </c>
      <c r="D37" s="353"/>
      <c r="E37" s="344">
        <f t="shared" si="1"/>
        <v>0</v>
      </c>
      <c r="F37" s="345"/>
      <c r="G37" s="439"/>
      <c r="H37" s="439"/>
      <c r="I37" s="439"/>
      <c r="J37" s="439"/>
      <c r="K37" s="439"/>
      <c r="L37" s="405"/>
    </row>
    <row r="38" spans="1:12">
      <c r="A38" s="405"/>
      <c r="B38" s="449" t="s">
        <v>450</v>
      </c>
      <c r="C38" s="342">
        <f>C2*C6</f>
        <v>0</v>
      </c>
      <c r="D38" s="353"/>
      <c r="E38" s="344">
        <f t="shared" si="1"/>
        <v>0</v>
      </c>
      <c r="F38" s="345"/>
      <c r="G38" s="439"/>
      <c r="H38" s="439"/>
      <c r="I38" s="439"/>
      <c r="J38" s="439"/>
      <c r="K38" s="439"/>
      <c r="L38" s="405"/>
    </row>
    <row r="39" spans="1:12">
      <c r="A39" s="405"/>
      <c r="B39" s="449" t="s">
        <v>366</v>
      </c>
      <c r="C39" s="342">
        <f>(C4+C6+C5)*C2</f>
        <v>0</v>
      </c>
      <c r="D39" s="353"/>
      <c r="E39" s="344">
        <f t="shared" si="1"/>
        <v>0</v>
      </c>
      <c r="F39" s="345"/>
      <c r="G39" s="439"/>
      <c r="H39" s="439"/>
      <c r="I39" s="439"/>
      <c r="J39" s="439"/>
      <c r="K39" s="439"/>
      <c r="L39" s="405"/>
    </row>
    <row r="40" spans="1:12">
      <c r="A40" s="405"/>
      <c r="B40" s="451" t="s">
        <v>403</v>
      </c>
      <c r="C40" s="347">
        <f>C4+C6+C5</f>
        <v>0</v>
      </c>
      <c r="D40" s="353"/>
      <c r="E40" s="344">
        <f t="shared" si="1"/>
        <v>0</v>
      </c>
      <c r="F40" s="345"/>
      <c r="G40" s="439"/>
      <c r="H40" s="439"/>
      <c r="I40" s="439"/>
      <c r="J40" s="439"/>
      <c r="K40" s="439"/>
      <c r="L40" s="405"/>
    </row>
    <row r="41" spans="1:12">
      <c r="A41" s="405"/>
      <c r="B41" s="451" t="s">
        <v>471</v>
      </c>
      <c r="C41" s="347">
        <f>C6</f>
        <v>0</v>
      </c>
      <c r="D41" s="353">
        <v>1</v>
      </c>
      <c r="E41" s="344">
        <f t="shared" si="1"/>
        <v>0</v>
      </c>
      <c r="F41" s="345"/>
      <c r="G41" s="439"/>
      <c r="H41" s="439"/>
      <c r="I41" s="439"/>
      <c r="J41" s="439"/>
      <c r="K41" s="439"/>
      <c r="L41" s="405"/>
    </row>
    <row r="42" spans="1:12">
      <c r="A42" s="405"/>
      <c r="B42" s="451" t="s">
        <v>367</v>
      </c>
      <c r="C42" s="347">
        <f>C6</f>
        <v>0</v>
      </c>
      <c r="D42" s="353"/>
      <c r="E42" s="344">
        <f t="shared" si="1"/>
        <v>0</v>
      </c>
      <c r="F42" s="345"/>
      <c r="G42" s="439"/>
      <c r="H42" s="439"/>
      <c r="I42" s="439"/>
      <c r="J42" s="439"/>
      <c r="K42" s="439"/>
      <c r="L42" s="405"/>
    </row>
    <row r="43" spans="1:12">
      <c r="A43" s="405"/>
      <c r="B43" s="451" t="s">
        <v>368</v>
      </c>
      <c r="C43" s="347">
        <f>(C4+C6+C5)*2</f>
        <v>0</v>
      </c>
      <c r="D43" s="353"/>
      <c r="E43" s="344">
        <f t="shared" si="1"/>
        <v>0</v>
      </c>
      <c r="F43" s="345"/>
      <c r="G43" s="439"/>
      <c r="H43" s="439"/>
      <c r="I43" s="439"/>
      <c r="J43" s="439"/>
      <c r="K43" s="439"/>
      <c r="L43" s="405"/>
    </row>
    <row r="44" spans="1:12">
      <c r="A44" s="405"/>
      <c r="B44" s="451" t="s">
        <v>480</v>
      </c>
      <c r="C44" s="347">
        <f>(C4+C6)*C2</f>
        <v>0</v>
      </c>
      <c r="D44" s="353"/>
      <c r="E44" s="344">
        <f t="shared" si="1"/>
        <v>0</v>
      </c>
      <c r="F44" s="345"/>
      <c r="G44" s="439"/>
      <c r="H44" s="439"/>
      <c r="I44" s="439"/>
      <c r="J44" s="439"/>
      <c r="K44" s="439"/>
      <c r="L44" s="405"/>
    </row>
    <row r="45" spans="1:12">
      <c r="A45" s="405"/>
      <c r="B45" s="452" t="s">
        <v>454</v>
      </c>
      <c r="C45" s="399">
        <f>C5+C4</f>
        <v>0</v>
      </c>
      <c r="D45" s="353"/>
      <c r="E45" s="344">
        <f t="shared" si="1"/>
        <v>0</v>
      </c>
      <c r="F45" s="345"/>
      <c r="G45" s="439"/>
      <c r="H45" s="439"/>
      <c r="I45" s="439"/>
      <c r="J45" s="439"/>
      <c r="K45" s="439"/>
      <c r="L45" s="405"/>
    </row>
    <row r="46" spans="1:12">
      <c r="A46" s="405"/>
      <c r="B46" s="452" t="s">
        <v>375</v>
      </c>
      <c r="C46" s="399">
        <f>C8+C7*(C4+C5)</f>
        <v>0</v>
      </c>
      <c r="D46" s="353"/>
      <c r="E46" s="344">
        <f t="shared" si="1"/>
        <v>0</v>
      </c>
      <c r="F46" s="345"/>
      <c r="G46" s="439"/>
      <c r="H46" s="439"/>
      <c r="I46" s="439"/>
      <c r="J46" s="439"/>
      <c r="K46" s="439"/>
      <c r="L46" s="405"/>
    </row>
    <row r="47" spans="1:12">
      <c r="A47" s="405"/>
      <c r="B47" s="452" t="s">
        <v>496</v>
      </c>
      <c r="C47" s="399">
        <f>C8*C5</f>
        <v>0</v>
      </c>
      <c r="D47" s="353"/>
      <c r="E47" s="344">
        <f t="shared" si="1"/>
        <v>0</v>
      </c>
      <c r="F47" s="345"/>
      <c r="G47" s="439"/>
      <c r="H47" s="439"/>
      <c r="I47" s="439"/>
      <c r="J47" s="439"/>
      <c r="K47" s="439"/>
      <c r="L47" s="405"/>
    </row>
    <row r="48" spans="1:12">
      <c r="A48" s="405"/>
      <c r="B48" s="452" t="s">
        <v>377</v>
      </c>
      <c r="C48" s="399">
        <f>C9*C6</f>
        <v>0</v>
      </c>
      <c r="D48" s="353"/>
      <c r="E48" s="344">
        <f t="shared" si="1"/>
        <v>0</v>
      </c>
      <c r="F48" s="345"/>
      <c r="G48" s="439"/>
      <c r="H48" s="439"/>
      <c r="I48" s="439"/>
      <c r="J48" s="439"/>
      <c r="K48" s="439"/>
      <c r="L48" s="405"/>
    </row>
    <row r="49" spans="1:12">
      <c r="A49" s="405"/>
      <c r="B49" s="452" t="s">
        <v>378</v>
      </c>
      <c r="C49" s="399">
        <f>C9*C6</f>
        <v>0</v>
      </c>
      <c r="D49" s="353"/>
      <c r="E49" s="344">
        <f t="shared" si="1"/>
        <v>0</v>
      </c>
      <c r="F49" s="345"/>
      <c r="G49" s="439"/>
      <c r="H49" s="439"/>
      <c r="I49" s="439"/>
      <c r="J49" s="439"/>
      <c r="K49" s="439"/>
      <c r="L49" s="405"/>
    </row>
    <row r="50" spans="1:12">
      <c r="A50" s="405"/>
      <c r="B50" s="452" t="s">
        <v>380</v>
      </c>
      <c r="C50" s="399">
        <f>C11*C5</f>
        <v>0</v>
      </c>
      <c r="D50" s="353"/>
      <c r="E50" s="344">
        <f t="shared" si="1"/>
        <v>0</v>
      </c>
      <c r="F50" s="345"/>
      <c r="G50" s="439"/>
      <c r="H50" s="439"/>
      <c r="I50" s="439"/>
      <c r="J50" s="439"/>
      <c r="K50" s="439"/>
      <c r="L50" s="405"/>
    </row>
    <row r="51" spans="1:12">
      <c r="A51" s="405"/>
      <c r="B51" s="452" t="s">
        <v>529</v>
      </c>
      <c r="C51" s="399">
        <f>C11+C10*(C4+C5)</f>
        <v>0</v>
      </c>
      <c r="D51" s="353"/>
      <c r="E51" s="344">
        <f t="shared" si="1"/>
        <v>0</v>
      </c>
      <c r="F51" s="345"/>
      <c r="G51" s="439"/>
      <c r="H51" s="439"/>
      <c r="I51" s="439"/>
      <c r="J51" s="439"/>
      <c r="K51" s="439"/>
      <c r="L51" s="405"/>
    </row>
    <row r="52" spans="1:12" hidden="1">
      <c r="A52" s="405"/>
      <c r="B52" s="452" t="s">
        <v>528</v>
      </c>
      <c r="C52" s="399">
        <f>(C7+C10)*C4</f>
        <v>0</v>
      </c>
      <c r="D52" s="353"/>
      <c r="E52" s="344">
        <f t="shared" si="1"/>
        <v>0</v>
      </c>
      <c r="F52" s="345"/>
      <c r="G52" s="439"/>
      <c r="H52" s="439"/>
      <c r="I52" s="439"/>
      <c r="J52" s="439"/>
      <c r="K52" s="439"/>
      <c r="L52" s="405"/>
    </row>
    <row r="53" spans="1:12">
      <c r="A53" s="405"/>
      <c r="B53" s="452" t="s">
        <v>386</v>
      </c>
      <c r="C53" s="399">
        <f>C12*C6</f>
        <v>0</v>
      </c>
      <c r="D53" s="353"/>
      <c r="E53" s="344">
        <f t="shared" si="1"/>
        <v>0</v>
      </c>
      <c r="F53" s="345"/>
      <c r="G53" s="439"/>
      <c r="H53" s="439"/>
      <c r="I53" s="439"/>
      <c r="J53" s="439"/>
      <c r="K53" s="439"/>
      <c r="L53" s="405"/>
    </row>
    <row r="54" spans="1:12">
      <c r="A54" s="405"/>
      <c r="B54" s="152" t="s">
        <v>145</v>
      </c>
      <c r="C54" s="399">
        <f>C19</f>
        <v>0</v>
      </c>
      <c r="D54" s="721"/>
      <c r="E54" s="400">
        <f t="shared" si="1"/>
        <v>0</v>
      </c>
      <c r="F54" s="345"/>
      <c r="G54" s="439"/>
      <c r="H54" s="439"/>
      <c r="I54" s="439"/>
      <c r="J54" s="439"/>
      <c r="K54" s="439"/>
      <c r="L54" s="405"/>
    </row>
    <row r="55" spans="1:12">
      <c r="A55" s="405"/>
      <c r="B55" s="152" t="s">
        <v>148</v>
      </c>
      <c r="C55" s="399">
        <f>C18</f>
        <v>0</v>
      </c>
      <c r="D55" s="721"/>
      <c r="E55" s="400">
        <f t="shared" si="1"/>
        <v>0</v>
      </c>
      <c r="F55" s="345"/>
      <c r="G55" s="439"/>
      <c r="H55" s="439"/>
      <c r="I55" s="439"/>
      <c r="J55" s="439"/>
      <c r="K55" s="439"/>
      <c r="L55" s="405"/>
    </row>
    <row r="56" spans="1:12">
      <c r="A56" s="405"/>
      <c r="B56" s="23" t="s">
        <v>689</v>
      </c>
      <c r="C56" s="399">
        <f>C20</f>
        <v>0</v>
      </c>
      <c r="D56" s="721"/>
      <c r="E56" s="400">
        <f t="shared" si="1"/>
        <v>0</v>
      </c>
      <c r="F56" s="345"/>
      <c r="G56" s="439"/>
      <c r="H56" s="439"/>
      <c r="I56" s="439"/>
      <c r="J56" s="439"/>
      <c r="K56" s="439"/>
      <c r="L56" s="405"/>
    </row>
    <row r="57" spans="1:12" ht="12" thickBot="1">
      <c r="A57" s="405"/>
      <c r="B57" s="454" t="s">
        <v>387</v>
      </c>
      <c r="C57" s="402">
        <f>C12*C6</f>
        <v>0</v>
      </c>
      <c r="D57" s="473"/>
      <c r="E57" s="404">
        <f t="shared" si="1"/>
        <v>0</v>
      </c>
      <c r="F57" s="345"/>
      <c r="G57" s="439"/>
      <c r="H57" s="439"/>
      <c r="I57" s="439"/>
      <c r="J57" s="439"/>
      <c r="K57" s="439"/>
      <c r="L57" s="405"/>
    </row>
    <row r="58" spans="1:12" ht="13.5" thickBot="1">
      <c r="A58" s="405"/>
      <c r="B58" s="439"/>
      <c r="C58" s="439"/>
      <c r="D58" s="455" t="s">
        <v>9</v>
      </c>
      <c r="E58" s="474">
        <f>SUMIF(E24:E57,"&gt;0",E24:E57)</f>
        <v>0</v>
      </c>
      <c r="F58" s="499"/>
      <c r="G58" s="439"/>
      <c r="H58" s="453"/>
      <c r="I58" s="439"/>
      <c r="J58" s="439"/>
      <c r="K58" s="439"/>
      <c r="L58" s="405"/>
    </row>
    <row r="59" spans="1:12" ht="11.25" customHeight="1">
      <c r="A59" s="405"/>
      <c r="B59" s="439"/>
      <c r="C59" s="439"/>
      <c r="D59" s="439"/>
      <c r="E59" s="439"/>
      <c r="F59" s="439"/>
      <c r="G59" s="405"/>
      <c r="H59" s="405"/>
      <c r="I59" s="405"/>
      <c r="J59" s="405"/>
      <c r="K59" s="405"/>
      <c r="L59" s="405"/>
    </row>
    <row r="60" spans="1:12" ht="11.25" customHeight="1">
      <c r="A60" s="405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</row>
    <row r="61" spans="1:12" ht="11.25" customHeight="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</row>
    <row r="62" spans="1:12" ht="11.25" customHeight="1">
      <c r="A62" s="405"/>
      <c r="B62" s="405"/>
      <c r="C62" s="405"/>
      <c r="D62" s="405"/>
      <c r="E62" s="405"/>
      <c r="F62" s="405"/>
      <c r="G62" s="405"/>
      <c r="H62" s="405"/>
      <c r="I62" s="405"/>
      <c r="J62" s="405"/>
      <c r="K62" s="405"/>
      <c r="L62" s="405"/>
    </row>
    <row r="63" spans="1:12" ht="11.25" customHeight="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</row>
    <row r="64" spans="1:12" ht="11.25" customHeight="1">
      <c r="A64" s="405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</row>
    <row r="65" spans="2:6" ht="11.25" customHeight="1">
      <c r="B65" s="405"/>
      <c r="C65" s="405"/>
      <c r="D65" s="405"/>
      <c r="E65" s="405"/>
      <c r="F65" s="405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636" priority="11" operator="equal">
      <formula>"ДА"</formula>
    </cfRule>
    <cfRule type="cellIs" dxfId="635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34" priority="14" operator="greaterThan">
      <formula>0</formula>
    </cfRule>
  </conditionalFormatting>
  <conditionalFormatting sqref="C13">
    <cfRule type="cellIs" dxfId="633" priority="10" operator="greaterThan">
      <formula>0</formula>
    </cfRule>
  </conditionalFormatting>
  <conditionalFormatting sqref="C2:C13 C15:C17">
    <cfRule type="cellIs" dxfId="632" priority="9" operator="greaterThan">
      <formula>0</formula>
    </cfRule>
  </conditionalFormatting>
  <conditionalFormatting sqref="C57:E57 C25:E53">
    <cfRule type="cellIs" dxfId="631" priority="8" operator="greaterThan">
      <formula>0</formula>
    </cfRule>
  </conditionalFormatting>
  <conditionalFormatting sqref="E58">
    <cfRule type="cellIs" dxfId="630" priority="5" operator="greaterThan">
      <formula>0</formula>
    </cfRule>
    <cfRule type="cellIs" dxfId="629" priority="6" operator="greaterThan">
      <formula>0</formula>
    </cfRule>
    <cfRule type="cellIs" dxfId="628" priority="7" operator="greaterThan">
      <formula>0</formula>
    </cfRule>
  </conditionalFormatting>
  <conditionalFormatting sqref="C18:C20">
    <cfRule type="cellIs" dxfId="627" priority="4" operator="greaterThan">
      <formula>0</formula>
    </cfRule>
  </conditionalFormatting>
  <conditionalFormatting sqref="C54:C56">
    <cfRule type="cellIs" dxfId="626" priority="2" operator="greaterThan">
      <formula>0</formula>
    </cfRule>
  </conditionalFormatting>
  <conditionalFormatting sqref="C54:E56">
    <cfRule type="cellIs" dxfId="625" priority="3" operator="greaterThan">
      <formula>0</formula>
    </cfRule>
  </conditionalFormatting>
  <conditionalFormatting sqref="C14">
    <cfRule type="cellIs" dxfId="62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05"/>
      <c r="B1" s="1229"/>
      <c r="C1" s="1230"/>
      <c r="D1" s="1230"/>
      <c r="E1" s="1229"/>
      <c r="F1" s="1230"/>
      <c r="G1" s="1230"/>
      <c r="H1" s="1229"/>
      <c r="I1" s="1230"/>
      <c r="J1" s="1230"/>
      <c r="K1" s="1229"/>
      <c r="L1" s="1230"/>
      <c r="M1" s="1230"/>
      <c r="N1" s="1161"/>
      <c r="O1" s="1162"/>
      <c r="P1" s="1162"/>
    </row>
    <row r="2" spans="1:16" ht="11.25" customHeight="1" thickBot="1">
      <c r="A2" s="405"/>
      <c r="B2" s="407" t="s">
        <v>10</v>
      </c>
      <c r="C2" s="458">
        <v>0</v>
      </c>
      <c r="D2" s="1231" t="s">
        <v>595</v>
      </c>
      <c r="E2" s="1232"/>
      <c r="F2" s="1233"/>
      <c r="G2" s="484"/>
      <c r="H2" s="409" t="s">
        <v>485</v>
      </c>
      <c r="I2" s="410" t="s">
        <v>604</v>
      </c>
      <c r="J2" s="476" t="s">
        <v>4</v>
      </c>
      <c r="K2" s="477" t="s">
        <v>8</v>
      </c>
      <c r="L2" s="405"/>
      <c r="M2" s="405"/>
    </row>
    <row r="3" spans="1:16" ht="12.75" thickBot="1">
      <c r="A3" s="405"/>
      <c r="B3" s="412" t="s">
        <v>1</v>
      </c>
      <c r="C3" s="459">
        <v>0</v>
      </c>
      <c r="D3" s="1234"/>
      <c r="E3" s="1235"/>
      <c r="F3" s="1236"/>
      <c r="G3" s="405"/>
      <c r="H3" s="413" t="s">
        <v>372</v>
      </c>
      <c r="I3" s="414" t="str">
        <f>IF(AND($C$7+$C$8=1,$C$9+$C$10+$C$11+$C$12=0,$C$13=2),"ДА","НЕТ")</f>
        <v>НЕТ</v>
      </c>
      <c r="J3" s="318"/>
      <c r="K3" s="319">
        <f>IF(I3="ДА",($C$4+$C$5+$C$6)*J3,0)</f>
        <v>0</v>
      </c>
      <c r="L3" s="405"/>
      <c r="M3" s="405"/>
    </row>
    <row r="4" spans="1:16" ht="12" customHeight="1">
      <c r="A4" s="405"/>
      <c r="B4" s="419" t="s">
        <v>530</v>
      </c>
      <c r="C4" s="462">
        <v>0</v>
      </c>
      <c r="D4" s="1231" t="s">
        <v>597</v>
      </c>
      <c r="E4" s="1232"/>
      <c r="F4" s="1254"/>
      <c r="G4" s="486"/>
      <c r="H4" s="416" t="s">
        <v>373</v>
      </c>
      <c r="I4" s="414" t="str">
        <f>IF(AND($C$7+$C$8=1,$C$9+$C$10+$C$11+$C$12=0,$C$13=2),"ДА","НЕТ")</f>
        <v>НЕТ</v>
      </c>
      <c r="J4" s="395"/>
      <c r="K4" s="319">
        <f t="shared" ref="K4:K21" si="0">IF(I4="ДА",($C$4+$C$5+$C$6)*J4,0)</f>
        <v>0</v>
      </c>
      <c r="L4" s="405"/>
      <c r="M4" s="405"/>
    </row>
    <row r="5" spans="1:16" ht="12">
      <c r="A5" s="405"/>
      <c r="B5" s="419" t="s">
        <v>396</v>
      </c>
      <c r="C5" s="462">
        <v>0</v>
      </c>
      <c r="D5" s="1251"/>
      <c r="E5" s="1237"/>
      <c r="F5" s="1255"/>
      <c r="G5" s="405"/>
      <c r="H5" s="416" t="s">
        <v>374</v>
      </c>
      <c r="I5" s="414" t="str">
        <f>IF(AND($C$7+$C$8=1,$C$9+$C$10+$C$11+$C$12=0,$C$13=2),"ДА","НЕТ")</f>
        <v>НЕТ</v>
      </c>
      <c r="J5" s="395"/>
      <c r="K5" s="319">
        <f t="shared" si="0"/>
        <v>0</v>
      </c>
      <c r="L5" s="405"/>
      <c r="M5" s="405"/>
    </row>
    <row r="6" spans="1:16" ht="12.75" thickBot="1">
      <c r="A6" s="405"/>
      <c r="B6" s="514" t="s">
        <v>392</v>
      </c>
      <c r="C6" s="513">
        <v>0</v>
      </c>
      <c r="D6" s="1251"/>
      <c r="E6" s="1237"/>
      <c r="F6" s="1255"/>
      <c r="G6" s="405"/>
      <c r="H6" s="418" t="s">
        <v>376</v>
      </c>
      <c r="I6" s="414" t="str">
        <f>IF(AND($C$7+$C$8=1,$C$9+$C$10+$C$11+$C$12=0,$C$13=3),"ДА","НЕТ")</f>
        <v>НЕТ</v>
      </c>
      <c r="J6" s="322"/>
      <c r="K6" s="319">
        <f t="shared" si="0"/>
        <v>0</v>
      </c>
      <c r="L6" s="405"/>
      <c r="M6" s="405"/>
    </row>
    <row r="7" spans="1:16" ht="12" customHeight="1">
      <c r="A7" s="405"/>
      <c r="B7" s="407" t="s">
        <v>521</v>
      </c>
      <c r="C7" s="464">
        <v>0</v>
      </c>
      <c r="D7" s="420" t="s">
        <v>287</v>
      </c>
      <c r="E7" s="421" t="s">
        <v>255</v>
      </c>
      <c r="F7" s="1239" t="s">
        <v>596</v>
      </c>
      <c r="G7" s="405"/>
      <c r="H7" s="416" t="s">
        <v>489</v>
      </c>
      <c r="I7" s="414" t="str">
        <f>IF(AND($C$9=1,$C$7+$C$8+$C$10+$C$11+$C$12=0,$C$13=1),"ДА","НЕТ")</f>
        <v>НЕТ</v>
      </c>
      <c r="J7" s="395"/>
      <c r="K7" s="319">
        <f t="shared" si="0"/>
        <v>0</v>
      </c>
      <c r="L7" s="405"/>
      <c r="M7" s="405"/>
    </row>
    <row r="8" spans="1:16" ht="12">
      <c r="A8" s="405"/>
      <c r="B8" s="419" t="s">
        <v>490</v>
      </c>
      <c r="C8" s="462">
        <v>0</v>
      </c>
      <c r="D8" s="424" t="s">
        <v>287</v>
      </c>
      <c r="E8" s="425" t="s">
        <v>255</v>
      </c>
      <c r="F8" s="1240"/>
      <c r="G8" s="523"/>
      <c r="H8" s="418" t="s">
        <v>486</v>
      </c>
      <c r="I8" s="414" t="str">
        <f>IF(AND($C$9=1,$C$7+$C$8+$C$10+$C$11+$C$12=0,$C$13=3),"ДА","НЕТ")</f>
        <v>НЕТ</v>
      </c>
      <c r="J8" s="322"/>
      <c r="K8" s="319">
        <f t="shared" si="0"/>
        <v>0</v>
      </c>
      <c r="L8" s="405"/>
      <c r="M8" s="405"/>
    </row>
    <row r="9" spans="1:16" ht="12">
      <c r="A9" s="405"/>
      <c r="B9" s="417" t="s">
        <v>491</v>
      </c>
      <c r="C9" s="461">
        <v>0</v>
      </c>
      <c r="D9" s="424" t="s">
        <v>287</v>
      </c>
      <c r="E9" s="424" t="s">
        <v>255</v>
      </c>
      <c r="F9" s="1240"/>
      <c r="G9" s="523"/>
      <c r="H9" s="418" t="s">
        <v>487</v>
      </c>
      <c r="I9" s="414" t="str">
        <f>IF(AND($C$9=1,$C$7+$C$8+$C$10+$C$11+$C$12=0,$C$13=2),"ДА","НЕТ")</f>
        <v>НЕТ</v>
      </c>
      <c r="J9" s="322"/>
      <c r="K9" s="319">
        <f t="shared" si="0"/>
        <v>0</v>
      </c>
      <c r="L9" s="405"/>
      <c r="M9" s="405"/>
    </row>
    <row r="10" spans="1:16" ht="12">
      <c r="A10" s="405"/>
      <c r="B10" s="419" t="s">
        <v>522</v>
      </c>
      <c r="C10" s="462">
        <v>0</v>
      </c>
      <c r="D10" s="422" t="s">
        <v>287</v>
      </c>
      <c r="E10" s="423" t="s">
        <v>255</v>
      </c>
      <c r="F10" s="1240"/>
      <c r="G10" s="523"/>
      <c r="H10" s="418" t="s">
        <v>488</v>
      </c>
      <c r="I10" s="414" t="str">
        <f>IF(AND($C$9=1,$C$7+$C$8+$C$10+$C$11+$C$12=0,$C$13=2),"ДА","НЕТ")</f>
        <v>НЕТ</v>
      </c>
      <c r="J10" s="322"/>
      <c r="K10" s="319">
        <f t="shared" si="0"/>
        <v>0</v>
      </c>
      <c r="L10" s="405"/>
      <c r="M10" s="405"/>
    </row>
    <row r="11" spans="1:16" ht="12">
      <c r="A11" s="405"/>
      <c r="B11" s="419" t="s">
        <v>492</v>
      </c>
      <c r="C11" s="462">
        <v>0</v>
      </c>
      <c r="D11" s="424" t="s">
        <v>287</v>
      </c>
      <c r="E11" s="425" t="s">
        <v>255</v>
      </c>
      <c r="F11" s="1240"/>
      <c r="G11" s="405"/>
      <c r="H11" s="418" t="s">
        <v>494</v>
      </c>
      <c r="I11" s="414" t="str">
        <f>IF(AND($C$9=1,$C$7+$C$8+$C$10+$C$11+$C$12=0,$C$13=2),"ДА","НЕТ")</f>
        <v>НЕТ</v>
      </c>
      <c r="J11" s="322"/>
      <c r="K11" s="319">
        <f t="shared" si="0"/>
        <v>0</v>
      </c>
      <c r="L11" s="405"/>
      <c r="M11" s="405"/>
    </row>
    <row r="12" spans="1:16" ht="12.75" thickBot="1">
      <c r="A12" s="405"/>
      <c r="B12" s="412" t="s">
        <v>493</v>
      </c>
      <c r="C12" s="463">
        <v>0</v>
      </c>
      <c r="D12" s="487" t="s">
        <v>287</v>
      </c>
      <c r="E12" s="488" t="s">
        <v>255</v>
      </c>
      <c r="F12" s="1241"/>
      <c r="G12" s="405"/>
      <c r="H12" s="418" t="s">
        <v>626</v>
      </c>
      <c r="I12" s="414" t="str">
        <f>IF(AND($C$10=1,$C$8+$C$9+$C$7+$C$11+$C$12=0,$C$13=2),"ДА","НЕТ")</f>
        <v>НЕТ</v>
      </c>
      <c r="J12" s="322"/>
      <c r="K12" s="319">
        <f t="shared" si="0"/>
        <v>0</v>
      </c>
      <c r="L12" s="405"/>
      <c r="M12" s="405"/>
    </row>
    <row r="13" spans="1:16" ht="12.75" thickBot="1">
      <c r="A13" s="405"/>
      <c r="B13" s="514" t="s">
        <v>589</v>
      </c>
      <c r="C13" s="513">
        <v>0</v>
      </c>
      <c r="D13" s="515" t="s">
        <v>619</v>
      </c>
      <c r="E13" s="516" t="s">
        <v>620</v>
      </c>
      <c r="F13" s="517" t="s">
        <v>621</v>
      </c>
      <c r="G13" s="405"/>
      <c r="H13" s="418" t="s">
        <v>518</v>
      </c>
      <c r="I13" s="414" t="str">
        <f>IF(AND($C$10=1,$C$8+$C$9+$C$7+$C$11+$C$12=0,$C$13=2),"ДА","НЕТ")</f>
        <v>НЕТ</v>
      </c>
      <c r="J13" s="322"/>
      <c r="K13" s="319">
        <f t="shared" si="0"/>
        <v>0</v>
      </c>
      <c r="L13" s="405"/>
      <c r="M13" s="405"/>
    </row>
    <row r="14" spans="1:16" ht="12" customHeight="1">
      <c r="A14" s="405"/>
      <c r="B14" s="407" t="s">
        <v>397</v>
      </c>
      <c r="C14" s="464">
        <v>0</v>
      </c>
      <c r="D14" s="420" t="s">
        <v>287</v>
      </c>
      <c r="E14" s="421" t="s">
        <v>255</v>
      </c>
      <c r="F14" s="1252" t="s">
        <v>597</v>
      </c>
      <c r="G14" s="405"/>
      <c r="H14" s="418" t="s">
        <v>519</v>
      </c>
      <c r="I14" s="414" t="str">
        <f>IF(AND($C$10=1,$C$8+$C$9+$C$7+$C$11+$C$12=0,$C$13=1),"ДА","НЕТ")</f>
        <v>НЕТ</v>
      </c>
      <c r="J14" s="322"/>
      <c r="K14" s="319">
        <f t="shared" si="0"/>
        <v>0</v>
      </c>
      <c r="L14" s="405"/>
      <c r="M14" s="405"/>
    </row>
    <row r="15" spans="1:16" ht="12.75" thickBot="1">
      <c r="A15" s="405"/>
      <c r="B15" s="412" t="s">
        <v>398</v>
      </c>
      <c r="C15" s="463">
        <v>0</v>
      </c>
      <c r="D15" s="487" t="s">
        <v>287</v>
      </c>
      <c r="E15" s="488" t="s">
        <v>255</v>
      </c>
      <c r="F15" s="1253"/>
      <c r="G15" s="405"/>
      <c r="H15" s="416" t="s">
        <v>379</v>
      </c>
      <c r="I15" s="414" t="str">
        <f>IF(AND($C$11=1,$C$7+$C$9+$C$10+$C$8+$C$12=0,$C$13=2),"ДА","НЕТ")</f>
        <v>НЕТ</v>
      </c>
      <c r="J15" s="325"/>
      <c r="K15" s="319">
        <f t="shared" si="0"/>
        <v>0</v>
      </c>
      <c r="L15" s="405"/>
      <c r="M15" s="405"/>
    </row>
    <row r="16" spans="1:16" ht="12.75" thickBot="1">
      <c r="A16" s="405"/>
      <c r="B16" s="440" t="s">
        <v>404</v>
      </c>
      <c r="C16" s="466">
        <v>0</v>
      </c>
      <c r="D16" s="524" t="s">
        <v>409</v>
      </c>
      <c r="E16" s="428" t="s">
        <v>410</v>
      </c>
      <c r="F16" s="469"/>
      <c r="G16" s="405"/>
      <c r="H16" s="413" t="s">
        <v>381</v>
      </c>
      <c r="I16" s="414" t="str">
        <f>IF(AND($C$11=1,$C$7+$C$9+$C$10+$C$8+$C$12=0,$C$13=1),"ДА","НЕТ")</f>
        <v>НЕТ</v>
      </c>
      <c r="J16" s="325"/>
      <c r="K16" s="319">
        <f t="shared" si="0"/>
        <v>0</v>
      </c>
      <c r="L16" s="405"/>
      <c r="M16" s="405"/>
    </row>
    <row r="17" spans="1:13" ht="12">
      <c r="A17" s="489"/>
      <c r="B17" s="407" t="s">
        <v>147</v>
      </c>
      <c r="C17" s="464">
        <v>0</v>
      </c>
      <c r="D17" s="1242" t="s">
        <v>686</v>
      </c>
      <c r="E17" s="1243"/>
      <c r="F17" s="1244"/>
      <c r="G17" s="405"/>
      <c r="H17" s="413" t="s">
        <v>382</v>
      </c>
      <c r="I17" s="414" t="str">
        <f>IF(AND($C$11=1,$C$7+$C$9+$C$10+$C$8+$C$12=0,$C$13=3),"ДА","НЕТ")</f>
        <v>НЕТ</v>
      </c>
      <c r="J17" s="325"/>
      <c r="K17" s="319">
        <f t="shared" si="0"/>
        <v>0</v>
      </c>
      <c r="L17" s="405"/>
      <c r="M17" s="405"/>
    </row>
    <row r="18" spans="1:13" ht="12">
      <c r="A18" s="489"/>
      <c r="B18" s="417" t="s">
        <v>146</v>
      </c>
      <c r="C18" s="461">
        <v>0</v>
      </c>
      <c r="D18" s="1245" t="s">
        <v>687</v>
      </c>
      <c r="E18" s="1246"/>
      <c r="F18" s="1247"/>
      <c r="G18" s="405"/>
      <c r="H18" s="413" t="s">
        <v>383</v>
      </c>
      <c r="I18" s="414" t="str">
        <f>IF(AND($C$12=1,$C$7+$C$8+$C$9+$C$10+$C$11=0,$C$13=1),"ДА","НЕТ")</f>
        <v>НЕТ</v>
      </c>
      <c r="J18" s="325"/>
      <c r="K18" s="319">
        <f t="shared" si="0"/>
        <v>0</v>
      </c>
      <c r="L18" s="405"/>
      <c r="M18" s="405"/>
    </row>
    <row r="19" spans="1:13" ht="12.75" thickBot="1">
      <c r="A19" s="489"/>
      <c r="B19" s="412" t="s">
        <v>143</v>
      </c>
      <c r="C19" s="463">
        <v>0</v>
      </c>
      <c r="D19" s="1248" t="s">
        <v>688</v>
      </c>
      <c r="E19" s="1249"/>
      <c r="F19" s="1250"/>
      <c r="G19" s="405"/>
      <c r="H19" s="416" t="s">
        <v>384</v>
      </c>
      <c r="I19" s="414" t="str">
        <f>IF(AND($C$12=1,$C$7+$C$8+$C$9+$C$10+$C$11=0,$C$13=1),"ДА","НЕТ")</f>
        <v>НЕТ</v>
      </c>
      <c r="J19" s="325"/>
      <c r="K19" s="319">
        <f t="shared" si="0"/>
        <v>0</v>
      </c>
      <c r="L19" s="405"/>
      <c r="M19" s="405"/>
    </row>
    <row r="20" spans="1:13" ht="12">
      <c r="A20" s="489"/>
      <c r="B20" s="442"/>
      <c r="C20" s="442"/>
      <c r="D20" s="442"/>
      <c r="E20" s="441"/>
      <c r="F20" s="439"/>
      <c r="G20" s="405"/>
      <c r="H20" s="413" t="s">
        <v>388</v>
      </c>
      <c r="I20" s="414" t="str">
        <f>IF(AND($C$12=1,$C$7+$C$8+$C$9+$C$10+$C$11=0,$C$13=2),"ДА","НЕТ")</f>
        <v>НЕТ</v>
      </c>
      <c r="J20" s="325"/>
      <c r="K20" s="319">
        <f t="shared" si="0"/>
        <v>0</v>
      </c>
      <c r="L20" s="405"/>
      <c r="M20" s="405"/>
    </row>
    <row r="21" spans="1:13" ht="12.75" thickBot="1">
      <c r="A21" s="489"/>
      <c r="B21" s="442"/>
      <c r="C21" s="442"/>
      <c r="D21" s="442"/>
      <c r="E21" s="441"/>
      <c r="F21" s="439"/>
      <c r="G21" s="405"/>
      <c r="H21" s="437" t="s">
        <v>389</v>
      </c>
      <c r="I21" s="438" t="str">
        <f>IF(AND($C$12=1,$C$7+$C$8+$C$9+$C$10+$C$11=0,$C$13=2),"ДА","НЕТ")</f>
        <v>НЕТ</v>
      </c>
      <c r="J21" s="332"/>
      <c r="K21" s="475">
        <f t="shared" si="0"/>
        <v>0</v>
      </c>
      <c r="L21" s="405"/>
      <c r="M21" s="405"/>
    </row>
    <row r="22" spans="1:13" ht="12.75">
      <c r="A22" s="405"/>
      <c r="B22" s="444" t="s">
        <v>5</v>
      </c>
      <c r="C22" s="445" t="s">
        <v>0</v>
      </c>
      <c r="D22" s="446" t="s">
        <v>4</v>
      </c>
      <c r="E22" s="447" t="s">
        <v>8</v>
      </c>
      <c r="F22" s="441"/>
      <c r="G22" s="405"/>
      <c r="H22" s="405"/>
      <c r="I22" s="405"/>
      <c r="J22" s="405"/>
      <c r="K22" s="405"/>
      <c r="L22" s="405"/>
      <c r="M22" s="405"/>
    </row>
    <row r="23" spans="1:13">
      <c r="A23" s="405"/>
      <c r="B23" s="449" t="s">
        <v>399</v>
      </c>
      <c r="C23" s="342">
        <f>C14*2*(C4+C5+C6)</f>
        <v>0</v>
      </c>
      <c r="D23" s="353"/>
      <c r="E23" s="344">
        <f>C23*D23</f>
        <v>0</v>
      </c>
      <c r="F23" s="439"/>
      <c r="G23" s="405"/>
      <c r="H23" s="405"/>
      <c r="I23" s="405"/>
      <c r="J23" s="405"/>
      <c r="K23" s="405"/>
      <c r="L23" s="405"/>
      <c r="M23" s="405"/>
    </row>
    <row r="24" spans="1:13">
      <c r="A24" s="405"/>
      <c r="B24" s="449" t="s">
        <v>400</v>
      </c>
      <c r="C24" s="342">
        <f>C15*(C4+C5+C6)</f>
        <v>0</v>
      </c>
      <c r="D24" s="353"/>
      <c r="E24" s="344">
        <f t="shared" ref="E24:E57" si="1">C24*D24</f>
        <v>0</v>
      </c>
      <c r="F24" s="442"/>
      <c r="G24" s="405"/>
      <c r="H24" s="405"/>
      <c r="I24" s="405"/>
      <c r="J24" s="405"/>
      <c r="K24" s="405"/>
      <c r="L24" s="405"/>
      <c r="M24" s="405"/>
    </row>
    <row r="25" spans="1:13">
      <c r="A25" s="405"/>
      <c r="B25" s="451" t="s">
        <v>479</v>
      </c>
      <c r="C25" s="347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53"/>
      <c r="E25" s="344">
        <f t="shared" si="1"/>
        <v>0</v>
      </c>
      <c r="F25" s="439"/>
      <c r="G25" s="405"/>
      <c r="H25" s="405"/>
      <c r="I25" s="405"/>
      <c r="J25" s="405"/>
      <c r="K25" s="405"/>
      <c r="L25" s="405"/>
      <c r="M25" s="405"/>
    </row>
    <row r="26" spans="1:13">
      <c r="A26" s="405"/>
      <c r="B26" s="451" t="s">
        <v>721</v>
      </c>
      <c r="C26" s="347">
        <f>(C4+C5+C6)*2</f>
        <v>0</v>
      </c>
      <c r="D26" s="353"/>
      <c r="E26" s="344">
        <f t="shared" si="1"/>
        <v>0</v>
      </c>
      <c r="F26" s="439"/>
      <c r="G26" s="405"/>
      <c r="H26" s="405"/>
      <c r="I26" s="405"/>
      <c r="J26" s="405"/>
      <c r="K26" s="405"/>
      <c r="L26" s="405"/>
      <c r="M26" s="405"/>
    </row>
    <row r="27" spans="1:13">
      <c r="A27" s="405"/>
      <c r="B27" s="451" t="s">
        <v>477</v>
      </c>
      <c r="C27" s="347">
        <f>(C4+C6+C5)*C2</f>
        <v>0</v>
      </c>
      <c r="D27" s="353"/>
      <c r="E27" s="344">
        <f t="shared" si="1"/>
        <v>0</v>
      </c>
      <c r="F27" s="441"/>
      <c r="G27" s="405"/>
      <c r="H27" s="405"/>
      <c r="I27" s="405"/>
      <c r="J27" s="405"/>
      <c r="K27" s="405"/>
      <c r="L27" s="405"/>
      <c r="M27" s="405"/>
    </row>
    <row r="28" spans="1:13">
      <c r="A28" s="405"/>
      <c r="B28" s="449" t="s">
        <v>474</v>
      </c>
      <c r="C28" s="342">
        <f>C5*C2</f>
        <v>0</v>
      </c>
      <c r="D28" s="353"/>
      <c r="E28" s="344">
        <f t="shared" si="1"/>
        <v>0</v>
      </c>
      <c r="F28" s="439"/>
      <c r="G28" s="405"/>
      <c r="H28" s="405"/>
      <c r="I28" s="405"/>
      <c r="J28" s="405"/>
      <c r="K28" s="405"/>
      <c r="L28" s="405"/>
      <c r="M28" s="405"/>
    </row>
    <row r="29" spans="1:13">
      <c r="A29" s="405"/>
      <c r="B29" s="451" t="s">
        <v>401</v>
      </c>
      <c r="C29" s="347">
        <f>(C14+C15)*C2*(C4+C5+C6)</f>
        <v>0</v>
      </c>
      <c r="D29" s="353"/>
      <c r="E29" s="344">
        <f t="shared" si="1"/>
        <v>0</v>
      </c>
      <c r="F29" s="439"/>
      <c r="G29" s="405"/>
      <c r="H29" s="405"/>
      <c r="I29" s="405"/>
      <c r="J29" s="405"/>
      <c r="K29" s="405"/>
      <c r="L29" s="405"/>
      <c r="M29" s="405"/>
    </row>
    <row r="30" spans="1:13">
      <c r="A30" s="405"/>
      <c r="B30" s="451" t="s">
        <v>402</v>
      </c>
      <c r="C30" s="347">
        <f>C15*C2*(C4+C5+C6)</f>
        <v>0</v>
      </c>
      <c r="D30" s="353"/>
      <c r="E30" s="344">
        <f t="shared" si="1"/>
        <v>0</v>
      </c>
      <c r="F30" s="442"/>
      <c r="G30" s="405"/>
      <c r="H30" s="405"/>
      <c r="I30" s="405"/>
      <c r="J30" s="405"/>
      <c r="K30" s="405"/>
      <c r="L30" s="405"/>
      <c r="M30" s="405"/>
    </row>
    <row r="31" spans="1:13">
      <c r="A31" s="405"/>
      <c r="B31" s="451" t="s">
        <v>525</v>
      </c>
      <c r="C31" s="347">
        <f>C4*C2</f>
        <v>0</v>
      </c>
      <c r="D31" s="353"/>
      <c r="E31" s="344">
        <f>C31*D31</f>
        <v>0</v>
      </c>
      <c r="F31" s="442"/>
      <c r="G31" s="405"/>
      <c r="H31" s="405"/>
      <c r="I31" s="405"/>
      <c r="J31" s="405"/>
      <c r="K31" s="405"/>
      <c r="L31" s="405"/>
      <c r="M31" s="405"/>
    </row>
    <row r="32" spans="1:13">
      <c r="A32" s="405"/>
      <c r="B32" s="449" t="s">
        <v>451</v>
      </c>
      <c r="C32" s="347">
        <f>C2*C5</f>
        <v>0</v>
      </c>
      <c r="D32" s="353"/>
      <c r="E32" s="344">
        <f t="shared" si="1"/>
        <v>0</v>
      </c>
      <c r="F32" s="442"/>
      <c r="G32" s="405"/>
      <c r="H32" s="405"/>
      <c r="I32" s="405"/>
      <c r="J32" s="405"/>
      <c r="K32" s="405"/>
      <c r="L32" s="405"/>
      <c r="M32" s="405"/>
    </row>
    <row r="33" spans="1:13">
      <c r="A33" s="405"/>
      <c r="B33" s="449" t="s">
        <v>450</v>
      </c>
      <c r="C33" s="342">
        <f>C2*C6</f>
        <v>0</v>
      </c>
      <c r="D33" s="353"/>
      <c r="E33" s="344">
        <f t="shared" si="1"/>
        <v>0</v>
      </c>
      <c r="F33" s="442"/>
      <c r="G33" s="405"/>
      <c r="H33" s="405"/>
      <c r="I33" s="405"/>
      <c r="J33" s="405"/>
      <c r="K33" s="405"/>
      <c r="L33" s="405"/>
      <c r="M33" s="405"/>
    </row>
    <row r="34" spans="1:13">
      <c r="A34" s="405"/>
      <c r="B34" s="451" t="s">
        <v>828</v>
      </c>
      <c r="C34" s="347">
        <f>C6+C5+C4</f>
        <v>0</v>
      </c>
      <c r="D34" s="353"/>
      <c r="E34" s="344">
        <f t="shared" si="1"/>
        <v>0</v>
      </c>
      <c r="F34" s="439"/>
      <c r="G34" s="405"/>
      <c r="H34" s="405"/>
      <c r="I34" s="405"/>
      <c r="J34" s="405"/>
      <c r="K34" s="405"/>
      <c r="L34" s="405"/>
      <c r="M34" s="405"/>
    </row>
    <row r="35" spans="1:13">
      <c r="A35" s="405"/>
      <c r="B35" s="451" t="s">
        <v>475</v>
      </c>
      <c r="C35" s="347">
        <f>C6</f>
        <v>0</v>
      </c>
      <c r="D35" s="353">
        <v>1</v>
      </c>
      <c r="E35" s="344">
        <f t="shared" si="1"/>
        <v>0</v>
      </c>
      <c r="F35" s="439"/>
      <c r="G35" s="405"/>
      <c r="H35" s="405"/>
      <c r="I35" s="405"/>
      <c r="J35" s="405"/>
      <c r="K35" s="405"/>
      <c r="L35" s="405"/>
      <c r="M35" s="405"/>
    </row>
    <row r="36" spans="1:13">
      <c r="A36" s="405"/>
      <c r="B36" s="451" t="s">
        <v>367</v>
      </c>
      <c r="C36" s="347">
        <f>C5</f>
        <v>0</v>
      </c>
      <c r="D36" s="353"/>
      <c r="E36" s="344">
        <f t="shared" si="1"/>
        <v>0</v>
      </c>
      <c r="F36" s="439"/>
      <c r="G36" s="405"/>
      <c r="H36" s="405"/>
      <c r="I36" s="405"/>
      <c r="J36" s="405"/>
      <c r="K36" s="405"/>
      <c r="L36" s="405"/>
      <c r="M36" s="405"/>
    </row>
    <row r="37" spans="1:13">
      <c r="A37" s="405"/>
      <c r="B37" s="451" t="s">
        <v>480</v>
      </c>
      <c r="C37" s="347">
        <f>(C4+C6)*C2</f>
        <v>0</v>
      </c>
      <c r="D37" s="353"/>
      <c r="E37" s="344">
        <f t="shared" si="1"/>
        <v>0</v>
      </c>
      <c r="F37" s="439"/>
      <c r="G37" s="405"/>
      <c r="H37" s="405"/>
      <c r="I37" s="405"/>
      <c r="J37" s="405"/>
      <c r="K37" s="405"/>
      <c r="L37" s="405"/>
      <c r="M37" s="405"/>
    </row>
    <row r="38" spans="1:13">
      <c r="A38" s="405"/>
      <c r="B38" s="451" t="s">
        <v>368</v>
      </c>
      <c r="C38" s="347">
        <f>(C4+C6+C5)*4</f>
        <v>0</v>
      </c>
      <c r="D38" s="353"/>
      <c r="E38" s="344">
        <f t="shared" si="1"/>
        <v>0</v>
      </c>
      <c r="F38" s="439"/>
      <c r="G38" s="405"/>
      <c r="H38" s="405"/>
      <c r="I38" s="405"/>
      <c r="J38" s="405"/>
      <c r="K38" s="405"/>
      <c r="L38" s="405"/>
      <c r="M38" s="405"/>
    </row>
    <row r="39" spans="1:13">
      <c r="A39" s="405"/>
      <c r="B39" s="452" t="s">
        <v>454</v>
      </c>
      <c r="C39" s="399">
        <f>C5+C4</f>
        <v>0</v>
      </c>
      <c r="D39" s="353"/>
      <c r="E39" s="400">
        <f t="shared" si="1"/>
        <v>0</v>
      </c>
      <c r="F39" s="439"/>
      <c r="G39" s="405"/>
      <c r="H39" s="405"/>
      <c r="I39" s="405"/>
      <c r="J39" s="405"/>
      <c r="K39" s="405"/>
      <c r="L39" s="405"/>
      <c r="M39" s="405"/>
    </row>
    <row r="40" spans="1:13">
      <c r="A40" s="405"/>
      <c r="B40" s="452" t="s">
        <v>375</v>
      </c>
      <c r="C40" s="399">
        <f>(C7+C8)*(C4+C5)</f>
        <v>0</v>
      </c>
      <c r="D40" s="353"/>
      <c r="E40" s="400">
        <f t="shared" si="1"/>
        <v>0</v>
      </c>
      <c r="F40" s="439"/>
      <c r="G40" s="405"/>
      <c r="H40" s="405"/>
      <c r="I40" s="405"/>
      <c r="J40" s="405"/>
      <c r="K40" s="405"/>
      <c r="L40" s="405"/>
      <c r="M40" s="405"/>
    </row>
    <row r="41" spans="1:13">
      <c r="A41" s="405"/>
      <c r="B41" s="452" t="s">
        <v>497</v>
      </c>
      <c r="C41" s="399">
        <f>C8*C5</f>
        <v>0</v>
      </c>
      <c r="D41" s="353"/>
      <c r="E41" s="400">
        <f t="shared" si="1"/>
        <v>0</v>
      </c>
      <c r="F41" s="439"/>
      <c r="G41" s="405"/>
      <c r="H41" s="405"/>
      <c r="I41" s="405"/>
      <c r="J41" s="405"/>
      <c r="K41" s="405"/>
      <c r="L41" s="405"/>
      <c r="M41" s="405"/>
    </row>
    <row r="42" spans="1:13">
      <c r="A42" s="405"/>
      <c r="B42" s="452" t="s">
        <v>377</v>
      </c>
      <c r="C42" s="399">
        <f>C9*C6</f>
        <v>0</v>
      </c>
      <c r="D42" s="353"/>
      <c r="E42" s="400">
        <f t="shared" si="1"/>
        <v>0</v>
      </c>
      <c r="F42" s="439"/>
      <c r="G42" s="405"/>
      <c r="H42" s="405"/>
      <c r="I42" s="405"/>
      <c r="J42" s="405"/>
      <c r="K42" s="405"/>
      <c r="L42" s="405"/>
      <c r="M42" s="405"/>
    </row>
    <row r="43" spans="1:13">
      <c r="A43" s="405"/>
      <c r="B43" s="452" t="s">
        <v>378</v>
      </c>
      <c r="C43" s="399">
        <f>C9*C6</f>
        <v>0</v>
      </c>
      <c r="D43" s="353"/>
      <c r="E43" s="400">
        <f t="shared" si="1"/>
        <v>0</v>
      </c>
      <c r="F43" s="439"/>
      <c r="G43" s="405"/>
      <c r="H43" s="405"/>
      <c r="I43" s="405"/>
      <c r="J43" s="405"/>
      <c r="K43" s="405"/>
      <c r="L43" s="405"/>
      <c r="M43" s="405"/>
    </row>
    <row r="44" spans="1:13">
      <c r="A44" s="405"/>
      <c r="B44" s="452" t="s">
        <v>380</v>
      </c>
      <c r="C44" s="399">
        <f>C11*C5</f>
        <v>0</v>
      </c>
      <c r="D44" s="353"/>
      <c r="E44" s="400">
        <f t="shared" si="1"/>
        <v>0</v>
      </c>
      <c r="F44" s="439"/>
      <c r="G44" s="405"/>
      <c r="H44" s="405"/>
      <c r="I44" s="405"/>
      <c r="J44" s="405"/>
      <c r="K44" s="405"/>
      <c r="L44" s="405"/>
      <c r="M44" s="405"/>
    </row>
    <row r="45" spans="1:13">
      <c r="A45" s="405"/>
      <c r="B45" s="452" t="s">
        <v>529</v>
      </c>
      <c r="C45" s="399">
        <f>(C10+C11)*(C4+C5)</f>
        <v>0</v>
      </c>
      <c r="D45" s="353"/>
      <c r="E45" s="400">
        <f t="shared" si="1"/>
        <v>0</v>
      </c>
      <c r="F45" s="439"/>
      <c r="G45" s="405"/>
      <c r="H45" s="405"/>
      <c r="I45" s="405"/>
      <c r="J45" s="405"/>
      <c r="K45" s="405"/>
      <c r="L45" s="405"/>
      <c r="M45" s="405"/>
    </row>
    <row r="46" spans="1:13">
      <c r="A46" s="405"/>
      <c r="B46" s="452" t="s">
        <v>386</v>
      </c>
      <c r="C46" s="399">
        <f>C12*C6</f>
        <v>0</v>
      </c>
      <c r="D46" s="353"/>
      <c r="E46" s="400">
        <f t="shared" si="1"/>
        <v>0</v>
      </c>
      <c r="F46" s="439"/>
      <c r="G46" s="405"/>
      <c r="H46" s="405"/>
      <c r="I46" s="405"/>
      <c r="J46" s="405"/>
      <c r="K46" s="405"/>
      <c r="L46" s="405"/>
      <c r="M46" s="405"/>
    </row>
    <row r="47" spans="1:13" hidden="1">
      <c r="A47" s="405"/>
      <c r="B47" s="452" t="s">
        <v>528</v>
      </c>
      <c r="C47" s="399">
        <f>(C7+C10)*C4</f>
        <v>0</v>
      </c>
      <c r="D47" s="353"/>
      <c r="E47" s="400">
        <f>C47*D47</f>
        <v>0</v>
      </c>
      <c r="F47" s="439"/>
      <c r="G47" s="405"/>
      <c r="H47" s="405"/>
      <c r="I47" s="405"/>
      <c r="J47" s="405"/>
      <c r="K47" s="405"/>
      <c r="L47" s="405"/>
      <c r="M47" s="405"/>
    </row>
    <row r="48" spans="1:13">
      <c r="A48" s="405"/>
      <c r="B48" s="452" t="s">
        <v>387</v>
      </c>
      <c r="C48" s="399">
        <f>C12*C6</f>
        <v>0</v>
      </c>
      <c r="D48" s="353"/>
      <c r="E48" s="400">
        <f t="shared" si="1"/>
        <v>0</v>
      </c>
      <c r="F48" s="439"/>
      <c r="G48" s="405"/>
      <c r="H48" s="405"/>
      <c r="I48" s="405"/>
      <c r="J48" s="405"/>
      <c r="K48" s="405"/>
      <c r="L48" s="405"/>
      <c r="M48" s="405"/>
    </row>
    <row r="49" spans="1:13">
      <c r="A49" s="405"/>
      <c r="B49" s="451" t="s">
        <v>630</v>
      </c>
      <c r="C49" s="347">
        <f>C2*(C4+C5+C6)</f>
        <v>0</v>
      </c>
      <c r="D49" s="348"/>
      <c r="E49" s="344">
        <f t="shared" si="1"/>
        <v>0</v>
      </c>
      <c r="F49" s="439"/>
      <c r="G49" s="405"/>
      <c r="H49" s="405"/>
      <c r="I49" s="405"/>
      <c r="J49" s="405"/>
      <c r="K49" s="405"/>
      <c r="L49" s="405"/>
      <c r="M49" s="405"/>
    </row>
    <row r="50" spans="1:13">
      <c r="A50" s="405"/>
      <c r="B50" s="525" t="s">
        <v>631</v>
      </c>
      <c r="C50" s="506">
        <f>C2*(C4+C5+C6)</f>
        <v>0</v>
      </c>
      <c r="D50" s="353"/>
      <c r="E50" s="400">
        <f t="shared" si="1"/>
        <v>0</v>
      </c>
      <c r="F50" s="439"/>
      <c r="G50" s="405"/>
      <c r="H50" s="405"/>
      <c r="I50" s="405"/>
      <c r="J50" s="405"/>
      <c r="K50" s="405"/>
      <c r="L50" s="405"/>
      <c r="M50" s="405"/>
    </row>
    <row r="51" spans="1:13">
      <c r="A51" s="405"/>
      <c r="B51" s="525" t="s">
        <v>632</v>
      </c>
      <c r="C51" s="506">
        <f>C5+C6+C4</f>
        <v>0</v>
      </c>
      <c r="D51" s="353"/>
      <c r="E51" s="400">
        <f t="shared" si="1"/>
        <v>0</v>
      </c>
      <c r="F51" s="439"/>
      <c r="G51" s="405"/>
      <c r="H51" s="405"/>
      <c r="I51" s="405"/>
      <c r="J51" s="405"/>
      <c r="K51" s="405"/>
      <c r="L51" s="405"/>
      <c r="M51" s="405"/>
    </row>
    <row r="52" spans="1:13">
      <c r="A52" s="405"/>
      <c r="B52" s="525" t="s">
        <v>633</v>
      </c>
      <c r="C52" s="506">
        <f>C4+C5+C6</f>
        <v>0</v>
      </c>
      <c r="D52" s="353"/>
      <c r="E52" s="400">
        <f t="shared" si="1"/>
        <v>0</v>
      </c>
      <c r="F52" s="439"/>
      <c r="G52" s="405"/>
      <c r="H52" s="405"/>
      <c r="I52" s="405"/>
      <c r="J52" s="405"/>
      <c r="K52" s="405"/>
      <c r="L52" s="405"/>
      <c r="M52" s="405"/>
    </row>
    <row r="53" spans="1:13">
      <c r="A53" s="405"/>
      <c r="B53" s="525" t="s">
        <v>455</v>
      </c>
      <c r="C53" s="506">
        <f>(C4+C5+C6)*2</f>
        <v>0</v>
      </c>
      <c r="D53" s="353"/>
      <c r="E53" s="400">
        <f t="shared" si="1"/>
        <v>0</v>
      </c>
      <c r="F53" s="439"/>
      <c r="G53" s="405"/>
      <c r="H53" s="405"/>
      <c r="I53" s="405"/>
      <c r="J53" s="405"/>
      <c r="K53" s="405"/>
      <c r="L53" s="405"/>
      <c r="M53" s="405"/>
    </row>
    <row r="54" spans="1:13">
      <c r="A54" s="405"/>
      <c r="B54" s="525" t="s">
        <v>145</v>
      </c>
      <c r="C54" s="506">
        <f>C18</f>
        <v>0</v>
      </c>
      <c r="D54" s="522"/>
      <c r="E54" s="400">
        <f t="shared" si="1"/>
        <v>0</v>
      </c>
      <c r="F54" s="439"/>
      <c r="G54" s="405"/>
      <c r="H54" s="405"/>
      <c r="I54" s="405"/>
      <c r="J54" s="405"/>
      <c r="K54" s="405"/>
      <c r="L54" s="405"/>
      <c r="M54" s="405"/>
    </row>
    <row r="55" spans="1:13">
      <c r="A55" s="405"/>
      <c r="B55" s="525" t="s">
        <v>148</v>
      </c>
      <c r="C55" s="506">
        <f>C17</f>
        <v>0</v>
      </c>
      <c r="D55" s="522"/>
      <c r="E55" s="400">
        <f t="shared" si="1"/>
        <v>0</v>
      </c>
      <c r="F55" s="439"/>
      <c r="G55" s="405"/>
      <c r="H55" s="405"/>
      <c r="I55" s="405"/>
      <c r="J55" s="405"/>
      <c r="K55" s="405"/>
      <c r="L55" s="405"/>
      <c r="M55" s="405"/>
    </row>
    <row r="56" spans="1:13">
      <c r="A56" s="405"/>
      <c r="B56" s="525" t="s">
        <v>689</v>
      </c>
      <c r="C56" s="506">
        <f>C19</f>
        <v>0</v>
      </c>
      <c r="D56" s="522"/>
      <c r="E56" s="400">
        <f t="shared" si="1"/>
        <v>0</v>
      </c>
      <c r="F56" s="439"/>
      <c r="G56" s="405"/>
      <c r="H56" s="405"/>
      <c r="I56" s="405"/>
      <c r="J56" s="405"/>
      <c r="K56" s="405"/>
      <c r="L56" s="405"/>
      <c r="M56" s="405"/>
    </row>
    <row r="57" spans="1:13" ht="12" thickBot="1">
      <c r="A57" s="405"/>
      <c r="B57" s="526" t="s">
        <v>634</v>
      </c>
      <c r="C57" s="508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73"/>
      <c r="E57" s="404">
        <f t="shared" si="1"/>
        <v>0</v>
      </c>
      <c r="F57" s="439"/>
      <c r="G57" s="405"/>
      <c r="H57" s="405"/>
      <c r="I57" s="405"/>
      <c r="J57" s="405"/>
      <c r="K57" s="405"/>
      <c r="L57" s="405"/>
      <c r="M57" s="405"/>
    </row>
    <row r="58" spans="1:13" ht="13.5" thickBot="1">
      <c r="A58" s="405"/>
      <c r="B58" s="439"/>
      <c r="C58" s="439"/>
      <c r="D58" s="455" t="s">
        <v>9</v>
      </c>
      <c r="E58" s="527">
        <f>SUMIF(E23:E57,"&gt;0",E23:E57)</f>
        <v>0</v>
      </c>
      <c r="F58" s="453"/>
      <c r="G58" s="523"/>
      <c r="H58" s="405"/>
      <c r="I58" s="405"/>
      <c r="J58" s="405"/>
      <c r="K58" s="405"/>
      <c r="L58" s="405"/>
      <c r="M58" s="405"/>
    </row>
    <row r="59" spans="1:13" ht="12" customHeight="1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05"/>
      <c r="L59" s="405"/>
      <c r="M59" s="405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D18:F18"/>
    <mergeCell ref="D19:F19"/>
    <mergeCell ref="B1:D1"/>
    <mergeCell ref="E1:G1"/>
    <mergeCell ref="H1:J1"/>
    <mergeCell ref="F14:F15"/>
    <mergeCell ref="D17:F17"/>
    <mergeCell ref="K1:M1"/>
    <mergeCell ref="N1:P1"/>
    <mergeCell ref="D2:F3"/>
    <mergeCell ref="D4:F6"/>
    <mergeCell ref="F7:F12"/>
  </mergeCells>
  <conditionalFormatting sqref="C13">
    <cfRule type="cellIs" dxfId="623" priority="9" operator="greaterThan">
      <formula>0</formula>
    </cfRule>
  </conditionalFormatting>
  <conditionalFormatting sqref="C13">
    <cfRule type="cellIs" dxfId="622" priority="10" operator="greaterThan">
      <formula>0</formula>
    </cfRule>
  </conditionalFormatting>
  <conditionalFormatting sqref="C2:C16">
    <cfRule type="cellIs" dxfId="621" priority="8" operator="greaterThan">
      <formula>0</formula>
    </cfRule>
  </conditionalFormatting>
  <conditionalFormatting sqref="C23:E57">
    <cfRule type="cellIs" dxfId="620" priority="7" operator="greaterThan">
      <formula>0</formula>
    </cfRule>
  </conditionalFormatting>
  <conditionalFormatting sqref="E58">
    <cfRule type="cellIs" dxfId="619" priority="6" operator="greaterThan">
      <formula>0</formula>
    </cfRule>
  </conditionalFormatting>
  <conditionalFormatting sqref="I3:I21">
    <cfRule type="cellIs" dxfId="618" priority="2" operator="equal">
      <formula>"ДА"</formula>
    </cfRule>
    <cfRule type="cellIs" dxfId="617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616" priority="5" operator="greaterThan">
      <formula>0</formula>
    </cfRule>
  </conditionalFormatting>
  <conditionalFormatting sqref="C17:C19">
    <cfRule type="cellIs" dxfId="61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workbookViewId="0">
      <pane ySplit="27" topLeftCell="A69" activePane="bottomLeft" state="frozen"/>
      <selection pane="bottomLeft" activeCell="I73" sqref="I73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161"/>
      <c r="C1" s="1162"/>
      <c r="D1" s="1162"/>
    </row>
    <row r="2" spans="2:13" ht="11.25" customHeight="1" thickBot="1">
      <c r="B2" s="500" t="s">
        <v>10</v>
      </c>
      <c r="C2" s="458">
        <v>1.85</v>
      </c>
      <c r="D2" s="1231" t="s">
        <v>595</v>
      </c>
      <c r="E2" s="1232"/>
      <c r="F2" s="1233"/>
      <c r="G2" s="119"/>
      <c r="H2" s="409" t="s">
        <v>485</v>
      </c>
      <c r="I2" s="410" t="s">
        <v>604</v>
      </c>
      <c r="J2" s="476" t="s">
        <v>4</v>
      </c>
      <c r="K2" s="477" t="s">
        <v>8</v>
      </c>
    </row>
    <row r="3" spans="2:13" ht="12.75" thickBot="1">
      <c r="B3" s="501" t="s">
        <v>1</v>
      </c>
      <c r="C3" s="459">
        <v>1.1000000000000001</v>
      </c>
      <c r="D3" s="1234"/>
      <c r="E3" s="1235"/>
      <c r="F3" s="1236"/>
      <c r="H3" s="571" t="s">
        <v>372</v>
      </c>
      <c r="I3" s="572" t="str">
        <f>IF(AND($C$7+$C$8=1,$C$9+$C$10+$C$11+$C$12=0,$C$13=2),"ДА","НЕТ")</f>
        <v>ДА</v>
      </c>
      <c r="J3" s="573"/>
      <c r="K3" s="574">
        <f>IF(I3="ДА",($C$4+$C$5+$C$6)*J3,0)</f>
        <v>0</v>
      </c>
    </row>
    <row r="4" spans="2:13" ht="12" customHeight="1">
      <c r="B4" s="500" t="s">
        <v>530</v>
      </c>
      <c r="C4" s="464">
        <v>1</v>
      </c>
      <c r="D4" s="1231" t="s">
        <v>597</v>
      </c>
      <c r="E4" s="1232"/>
      <c r="F4" s="1254"/>
      <c r="G4" s="248"/>
      <c r="H4" s="416" t="s">
        <v>373</v>
      </c>
      <c r="I4" s="414" t="str">
        <f>IF(AND($C$7+$C$8=1,$C$9+$C$10+$C$11+$C$12=0,$C$13=2),"ДА","НЕТ")</f>
        <v>ДА</v>
      </c>
      <c r="J4" s="395"/>
      <c r="K4" s="319">
        <f t="shared" ref="K4:K21" si="0">IF(I4="ДА",($C$4+$C$5+$C$6)*J4,0)</f>
        <v>0</v>
      </c>
    </row>
    <row r="5" spans="2:13" ht="12">
      <c r="B5" s="502" t="s">
        <v>396</v>
      </c>
      <c r="C5" s="462">
        <v>0</v>
      </c>
      <c r="D5" s="1251"/>
      <c r="E5" s="1237"/>
      <c r="F5" s="1255"/>
      <c r="G5" s="248"/>
      <c r="H5" s="416" t="s">
        <v>374</v>
      </c>
      <c r="I5" s="414" t="str">
        <f>IF(AND($C$7+$C$8=1,$C$9+$C$10+$C$11+$C$12=0,$C$13=2),"ДА","НЕТ")</f>
        <v>ДА</v>
      </c>
      <c r="J5" s="395"/>
      <c r="K5" s="319">
        <f t="shared" si="0"/>
        <v>0</v>
      </c>
    </row>
    <row r="6" spans="2:13" ht="12.75" thickBot="1">
      <c r="B6" s="503" t="s">
        <v>392</v>
      </c>
      <c r="C6" s="466">
        <v>0</v>
      </c>
      <c r="D6" s="1251"/>
      <c r="E6" s="1237"/>
      <c r="F6" s="1255"/>
      <c r="H6" s="418" t="s">
        <v>376</v>
      </c>
      <c r="I6" s="414" t="str">
        <f>IF(AND($C$7+$C$8=1,$C$9+$C$10+$C$11+$C$12=0,$C$13=3),"ДА","НЕТ")</f>
        <v>НЕТ</v>
      </c>
      <c r="J6" s="322"/>
      <c r="K6" s="319">
        <f t="shared" si="0"/>
        <v>0</v>
      </c>
    </row>
    <row r="7" spans="2:13" ht="12" customHeight="1">
      <c r="B7" s="500" t="s">
        <v>521</v>
      </c>
      <c r="C7" s="464">
        <v>1</v>
      </c>
      <c r="D7" s="510" t="s">
        <v>287</v>
      </c>
      <c r="E7" s="364" t="s">
        <v>255</v>
      </c>
      <c r="F7" s="1239" t="s">
        <v>596</v>
      </c>
      <c r="H7" s="416" t="s">
        <v>489</v>
      </c>
      <c r="I7" s="414" t="str">
        <f>IF(AND($C$9=1,$C$7+$C$8+$C$10+$C$11+$C$12=0,$C$13=1),"ДА","НЕТ")</f>
        <v>НЕТ</v>
      </c>
      <c r="J7" s="395"/>
      <c r="K7" s="319">
        <f t="shared" si="0"/>
        <v>0</v>
      </c>
    </row>
    <row r="8" spans="2:13" ht="12">
      <c r="B8" s="502" t="s">
        <v>490</v>
      </c>
      <c r="C8" s="462">
        <v>0</v>
      </c>
      <c r="D8" s="367" t="s">
        <v>287</v>
      </c>
      <c r="E8" s="366" t="s">
        <v>255</v>
      </c>
      <c r="F8" s="1240"/>
      <c r="H8" s="418" t="s">
        <v>486</v>
      </c>
      <c r="I8" s="414" t="str">
        <f>IF(AND($C$9=1,$C$7+$C$8+$C$10+$C$11+$C$12=0,$C$13=3),"ДА","НЕТ")</f>
        <v>НЕТ</v>
      </c>
      <c r="J8" s="322"/>
      <c r="K8" s="319">
        <f t="shared" si="0"/>
        <v>0</v>
      </c>
    </row>
    <row r="9" spans="2:13" ht="12">
      <c r="B9" s="518" t="s">
        <v>491</v>
      </c>
      <c r="C9" s="461">
        <v>0</v>
      </c>
      <c r="D9" s="367" t="s">
        <v>287</v>
      </c>
      <c r="E9" s="366" t="s">
        <v>255</v>
      </c>
      <c r="F9" s="1240"/>
      <c r="G9" s="249"/>
      <c r="H9" s="418" t="s">
        <v>487</v>
      </c>
      <c r="I9" s="414" t="str">
        <f>IF(AND($C$9=1,$C$7+$C$8+$C$10+$C$11+$C$12=0,$C$13=2),"ДА","НЕТ")</f>
        <v>НЕТ</v>
      </c>
      <c r="J9" s="322"/>
      <c r="K9" s="319">
        <f t="shared" si="0"/>
        <v>0</v>
      </c>
    </row>
    <row r="10" spans="2:13" ht="12">
      <c r="B10" s="502" t="s">
        <v>522</v>
      </c>
      <c r="C10" s="462">
        <v>0</v>
      </c>
      <c r="D10" s="511" t="s">
        <v>287</v>
      </c>
      <c r="E10" s="369" t="s">
        <v>255</v>
      </c>
      <c r="F10" s="1240"/>
      <c r="G10" s="249"/>
      <c r="H10" s="418" t="s">
        <v>488</v>
      </c>
      <c r="I10" s="414" t="str">
        <f>IF(AND($C$9=1,$C$7+$C$8+$C$10+$C$11+$C$12=0,$C$13=2),"ДА","НЕТ")</f>
        <v>НЕТ</v>
      </c>
      <c r="J10" s="322"/>
      <c r="K10" s="319">
        <f t="shared" si="0"/>
        <v>0</v>
      </c>
    </row>
    <row r="11" spans="2:13" ht="12">
      <c r="B11" s="502" t="s">
        <v>492</v>
      </c>
      <c r="C11" s="462">
        <v>0</v>
      </c>
      <c r="D11" s="367" t="s">
        <v>287</v>
      </c>
      <c r="E11" s="366" t="s">
        <v>255</v>
      </c>
      <c r="F11" s="1240"/>
      <c r="G11" s="249"/>
      <c r="H11" s="418" t="s">
        <v>494</v>
      </c>
      <c r="I11" s="414" t="str">
        <f>IF(AND($C$9=1,$C$7+$C$8+$C$10+$C$11+$C$12=0,$C$13=2),"ДА","НЕТ")</f>
        <v>НЕТ</v>
      </c>
      <c r="J11" s="322"/>
      <c r="K11" s="319">
        <f t="shared" si="0"/>
        <v>0</v>
      </c>
      <c r="L11" s="249"/>
      <c r="M11" s="249"/>
    </row>
    <row r="12" spans="2:13" ht="12.75" thickBot="1">
      <c r="B12" s="528" t="s">
        <v>493</v>
      </c>
      <c r="C12" s="472">
        <v>0</v>
      </c>
      <c r="D12" s="529" t="s">
        <v>287</v>
      </c>
      <c r="E12" s="519" t="s">
        <v>255</v>
      </c>
      <c r="F12" s="1240"/>
      <c r="H12" s="418" t="s">
        <v>626</v>
      </c>
      <c r="I12" s="414" t="str">
        <f>IF(AND($C$10=1,$C$8+$C$9+$C$7+$C$11+$C$12=0,$C$13=2),"ДА","НЕТ")</f>
        <v>НЕТ</v>
      </c>
      <c r="J12" s="322"/>
      <c r="K12" s="319">
        <f t="shared" si="0"/>
        <v>0</v>
      </c>
      <c r="L12" s="249"/>
      <c r="M12" s="249"/>
    </row>
    <row r="13" spans="2:13" ht="12.75" thickBot="1">
      <c r="B13" s="429" t="s">
        <v>589</v>
      </c>
      <c r="C13" s="465">
        <v>2</v>
      </c>
      <c r="D13" s="471" t="s">
        <v>619</v>
      </c>
      <c r="E13" s="434" t="s">
        <v>620</v>
      </c>
      <c r="F13" s="436" t="s">
        <v>621</v>
      </c>
      <c r="H13" s="418" t="s">
        <v>518</v>
      </c>
      <c r="I13" s="414" t="str">
        <f>IF(AND($C$10=1,$C$8+$C$9+$C$7+$C$11+$C$12=0,$C$13=2),"ДА","НЕТ")</f>
        <v>НЕТ</v>
      </c>
      <c r="J13" s="322"/>
      <c r="K13" s="319">
        <f t="shared" si="0"/>
        <v>0</v>
      </c>
      <c r="L13" s="249"/>
      <c r="M13" s="249"/>
    </row>
    <row r="14" spans="2:13" ht="12.75" thickBot="1">
      <c r="B14" s="512" t="s">
        <v>393</v>
      </c>
      <c r="C14" s="513">
        <v>1</v>
      </c>
      <c r="D14" s="530" t="s">
        <v>394</v>
      </c>
      <c r="E14" s="375" t="s">
        <v>395</v>
      </c>
      <c r="F14" s="558"/>
      <c r="H14" s="418" t="s">
        <v>519</v>
      </c>
      <c r="I14" s="414" t="str">
        <f>IF(AND($C$10=1,$C$8+$C$9+$C$7+$C$11+$C$12=0,$C$13=1),"ДА","НЕТ")</f>
        <v>НЕТ</v>
      </c>
      <c r="J14" s="322"/>
      <c r="K14" s="319">
        <f t="shared" si="0"/>
        <v>0</v>
      </c>
      <c r="L14" s="249"/>
      <c r="M14" s="249"/>
    </row>
    <row r="15" spans="2:13" ht="12.75" thickBot="1">
      <c r="B15" s="504" t="s">
        <v>531</v>
      </c>
      <c r="C15" s="465">
        <v>0</v>
      </c>
      <c r="D15" s="520" t="s">
        <v>287</v>
      </c>
      <c r="E15" s="373" t="s">
        <v>255</v>
      </c>
      <c r="F15" s="470" t="s">
        <v>668</v>
      </c>
      <c r="H15" s="416" t="s">
        <v>379</v>
      </c>
      <c r="I15" s="414" t="str">
        <f>IF(AND($C$11=1,$C$7+$C$9+$C$10+$C$8+$C$12=0,$C$13=2),"ДА","НЕТ")</f>
        <v>НЕТ</v>
      </c>
      <c r="J15" s="325"/>
      <c r="K15" s="319">
        <f>IF(I15="ДА",($C$4+$C$5+$C$6)*J15,0)</f>
        <v>0</v>
      </c>
    </row>
    <row r="16" spans="2:13" ht="12.75" thickBot="1">
      <c r="B16" s="503" t="s">
        <v>481</v>
      </c>
      <c r="C16" s="466">
        <v>0</v>
      </c>
      <c r="D16" s="521" t="s">
        <v>287</v>
      </c>
      <c r="E16" s="371" t="s">
        <v>255</v>
      </c>
      <c r="F16" s="559"/>
      <c r="H16" s="413" t="s">
        <v>381</v>
      </c>
      <c r="I16" s="414" t="str">
        <f>IF(AND($C$11=1,$C$7+$C$9+$C$10+$C$8+$C$12=0,$C$13=1),"ДА","НЕТ")</f>
        <v>НЕТ</v>
      </c>
      <c r="J16" s="325"/>
      <c r="K16" s="319">
        <f t="shared" si="0"/>
        <v>0</v>
      </c>
    </row>
    <row r="17" spans="1:11" ht="12.75" thickBot="1">
      <c r="B17" s="503" t="s">
        <v>412</v>
      </c>
      <c r="C17" s="466">
        <v>1</v>
      </c>
      <c r="D17" s="521" t="s">
        <v>287</v>
      </c>
      <c r="E17" s="371" t="s">
        <v>255</v>
      </c>
      <c r="F17" s="470" t="s">
        <v>625</v>
      </c>
      <c r="H17" s="413" t="s">
        <v>382</v>
      </c>
      <c r="I17" s="414" t="str">
        <f>IF(AND($C$11=1,$C$7+$C$9+$C$10+$C$8+$C$12=0,$C$13=3),"ДА","НЕТ")</f>
        <v>НЕТ</v>
      </c>
      <c r="J17" s="325"/>
      <c r="K17" s="319">
        <f t="shared" si="0"/>
        <v>0</v>
      </c>
    </row>
    <row r="18" spans="1:11" ht="12.75" customHeight="1">
      <c r="B18" s="502" t="s">
        <v>361</v>
      </c>
      <c r="C18" s="462">
        <v>0</v>
      </c>
      <c r="D18" s="510" t="s">
        <v>287</v>
      </c>
      <c r="E18" s="364" t="s">
        <v>255</v>
      </c>
      <c r="F18" s="1239" t="s">
        <v>597</v>
      </c>
      <c r="H18" s="413" t="s">
        <v>383</v>
      </c>
      <c r="I18" s="414" t="str">
        <f>IF(AND($C$12=1,$C$7+$C$8+$C$9+$C$10+$C$11=0,$C$13=1),"ДА","НЕТ")</f>
        <v>НЕТ</v>
      </c>
      <c r="J18" s="325"/>
      <c r="K18" s="319">
        <f t="shared" si="0"/>
        <v>0</v>
      </c>
    </row>
    <row r="19" spans="1:11" ht="12">
      <c r="B19" s="518" t="s">
        <v>362</v>
      </c>
      <c r="C19" s="461">
        <v>0</v>
      </c>
      <c r="D19" s="367" t="s">
        <v>287</v>
      </c>
      <c r="E19" s="366" t="s">
        <v>255</v>
      </c>
      <c r="F19" s="1240"/>
      <c r="H19" s="416" t="s">
        <v>384</v>
      </c>
      <c r="I19" s="414" t="str">
        <f>IF(AND($C$12=1,$C$7+$C$8+$C$9+$C$10+$C$11=0,$C$13=1),"ДА","НЕТ")</f>
        <v>НЕТ</v>
      </c>
      <c r="J19" s="325"/>
      <c r="K19" s="319">
        <f t="shared" si="0"/>
        <v>0</v>
      </c>
    </row>
    <row r="20" spans="1:11" ht="12">
      <c r="B20" s="518" t="s">
        <v>467</v>
      </c>
      <c r="C20" s="461">
        <v>0</v>
      </c>
      <c r="D20" s="367" t="s">
        <v>287</v>
      </c>
      <c r="E20" s="366" t="s">
        <v>255</v>
      </c>
      <c r="F20" s="1240"/>
      <c r="H20" s="413" t="s">
        <v>388</v>
      </c>
      <c r="I20" s="414" t="str">
        <f>IF(AND($C$12=1,$C$7+$C$8+$C$9+$C$10+$C$11=0,$C$13=2),"ДА","НЕТ")</f>
        <v>НЕТ</v>
      </c>
      <c r="J20" s="325"/>
      <c r="K20" s="319">
        <f t="shared" si="0"/>
        <v>0</v>
      </c>
    </row>
    <row r="21" spans="1:11" ht="12.75" thickBot="1">
      <c r="B21" s="518" t="s">
        <v>466</v>
      </c>
      <c r="C21" s="461">
        <v>1</v>
      </c>
      <c r="D21" s="521" t="s">
        <v>287</v>
      </c>
      <c r="E21" s="371" t="s">
        <v>255</v>
      </c>
      <c r="F21" s="1241"/>
      <c r="H21" s="437" t="s">
        <v>389</v>
      </c>
      <c r="I21" s="438" t="str">
        <f>IF(AND($C$12=1,$C$7+$C$8+$C$9+$C$10+$C$11=0,$C$13=2),"ДА","НЕТ")</f>
        <v>НЕТ</v>
      </c>
      <c r="J21" s="332"/>
      <c r="K21" s="475">
        <f t="shared" si="0"/>
        <v>0</v>
      </c>
    </row>
    <row r="22" spans="1:11" ht="12" thickBot="1">
      <c r="B22" s="504" t="s">
        <v>404</v>
      </c>
      <c r="C22" s="465">
        <v>1</v>
      </c>
      <c r="D22" s="520" t="s">
        <v>287</v>
      </c>
      <c r="E22" s="373" t="s">
        <v>255</v>
      </c>
      <c r="F22" s="531"/>
    </row>
    <row r="23" spans="1:11">
      <c r="B23" s="407" t="s">
        <v>147</v>
      </c>
      <c r="C23" s="464">
        <v>0</v>
      </c>
      <c r="D23" s="1242" t="s">
        <v>686</v>
      </c>
      <c r="E23" s="1243"/>
      <c r="F23" s="1244"/>
    </row>
    <row r="24" spans="1:11">
      <c r="B24" s="417" t="s">
        <v>146</v>
      </c>
      <c r="C24" s="461">
        <v>0</v>
      </c>
      <c r="D24" s="1245" t="s">
        <v>687</v>
      </c>
      <c r="E24" s="1246"/>
      <c r="F24" s="1247"/>
    </row>
    <row r="25" spans="1:11" ht="12" thickBot="1">
      <c r="B25" s="412" t="s">
        <v>143</v>
      </c>
      <c r="C25" s="463">
        <v>0</v>
      </c>
      <c r="D25" s="1248" t="s">
        <v>688</v>
      </c>
      <c r="E25" s="1249"/>
      <c r="F25" s="1250"/>
    </row>
    <row r="26" spans="1:11" ht="12" thickBot="1">
      <c r="A26" s="69"/>
      <c r="B26" s="1256"/>
      <c r="C26" s="1256"/>
      <c r="D26" s="1256"/>
      <c r="E26" s="324"/>
      <c r="F26" s="394"/>
    </row>
    <row r="27" spans="1:11" ht="12.75">
      <c r="B27" s="377" t="s">
        <v>5</v>
      </c>
      <c r="C27" s="378" t="s">
        <v>0</v>
      </c>
      <c r="D27" s="509" t="s">
        <v>4</v>
      </c>
      <c r="E27" s="380" t="s">
        <v>8</v>
      </c>
      <c r="F27" s="316"/>
    </row>
    <row r="28" spans="1:11">
      <c r="B28" s="341" t="s">
        <v>563</v>
      </c>
      <c r="C28" s="347">
        <f>IF(AND(C15=0,C17=0),C20*(C4+C5+C6),0)</f>
        <v>0</v>
      </c>
      <c r="D28" s="353"/>
      <c r="E28" s="344">
        <f>C28*D28</f>
        <v>0</v>
      </c>
      <c r="F28" s="316"/>
    </row>
    <row r="29" spans="1:11">
      <c r="B29" s="341" t="s">
        <v>605</v>
      </c>
      <c r="C29" s="347">
        <f>IF(AND(C15=0,C17=0),C21*(C4+C5+C6),0)</f>
        <v>0</v>
      </c>
      <c r="D29" s="353"/>
      <c r="E29" s="344">
        <f>C29*D29</f>
        <v>0</v>
      </c>
      <c r="F29" s="316"/>
    </row>
    <row r="30" spans="1:11">
      <c r="B30" s="341" t="s">
        <v>606</v>
      </c>
      <c r="C30" s="347">
        <f>IF(AND(C15=1,C18=0),C21*(C4+C5+C6),0)</f>
        <v>0</v>
      </c>
      <c r="D30" s="353"/>
      <c r="E30" s="344">
        <f t="shared" ref="E30:E84" si="1">C30*D30</f>
        <v>0</v>
      </c>
      <c r="F30" s="316"/>
    </row>
    <row r="31" spans="1:11">
      <c r="B31" s="346" t="s">
        <v>467</v>
      </c>
      <c r="C31" s="347">
        <f>IF(AND(C15=0,C17=0),C20*C2*(C4+C5+C6),0)</f>
        <v>0</v>
      </c>
      <c r="D31" s="353"/>
      <c r="E31" s="344">
        <f>C31*D31</f>
        <v>0</v>
      </c>
      <c r="F31" s="316"/>
    </row>
    <row r="32" spans="1:11">
      <c r="B32" s="346" t="s">
        <v>616</v>
      </c>
      <c r="C32" s="347">
        <f>IF(AND(C18=0,C19=0,C20=0),C21*C2*(C4+C5+C6),0)</f>
        <v>1.85</v>
      </c>
      <c r="D32" s="353"/>
      <c r="E32" s="344">
        <f t="shared" si="1"/>
        <v>0</v>
      </c>
      <c r="F32" s="324"/>
    </row>
    <row r="33" spans="2:6">
      <c r="B33" s="346" t="s">
        <v>364</v>
      </c>
      <c r="C33" s="347">
        <f>IF(AND(C15=0,C17=0),C18*C2*(C4+C5+C6),0)</f>
        <v>0</v>
      </c>
      <c r="D33" s="353"/>
      <c r="E33" s="344">
        <f t="shared" si="1"/>
        <v>0</v>
      </c>
      <c r="F33" s="316"/>
    </row>
    <row r="34" spans="2:6">
      <c r="B34" s="346" t="s">
        <v>365</v>
      </c>
      <c r="C34" s="347">
        <f>IF(AND(C15=0,C16=0),C19*C2*(C4+C5+C6+C7+C8+C9),0)</f>
        <v>0</v>
      </c>
      <c r="D34" s="353"/>
      <c r="E34" s="344">
        <f t="shared" si="1"/>
        <v>0</v>
      </c>
      <c r="F34" s="394"/>
    </row>
    <row r="35" spans="2:6">
      <c r="B35" s="341" t="s">
        <v>635</v>
      </c>
      <c r="C35" s="342">
        <f>IF(AND(C17=1,C15+C18+C19=0,C21=1),C17*(C4+C5+C6+C7+C8+C9),0)</f>
        <v>2</v>
      </c>
      <c r="D35" s="353"/>
      <c r="E35" s="344">
        <f t="shared" si="1"/>
        <v>0</v>
      </c>
      <c r="F35" s="394"/>
    </row>
    <row r="36" spans="2:6">
      <c r="B36" s="341" t="s">
        <v>411</v>
      </c>
      <c r="C36" s="342">
        <f>IF(C15+C17+C21=0,(C18+C19)*2*(C4+C5+C6+C7+C8+C9),0)</f>
        <v>0</v>
      </c>
      <c r="D36" s="353"/>
      <c r="E36" s="344">
        <f t="shared" si="1"/>
        <v>0</v>
      </c>
      <c r="F36" s="394"/>
    </row>
    <row r="37" spans="2:6">
      <c r="B37" s="346" t="s">
        <v>533</v>
      </c>
      <c r="C37" s="347">
        <f>EVEN(ROUNDDOWN(IF(AND((C4+C5+C6)&gt;0.9,C22=0),((C4+C5+C6)*C2/0.5),0),0))</f>
        <v>0</v>
      </c>
      <c r="D37" s="353"/>
      <c r="E37" s="344">
        <f t="shared" si="1"/>
        <v>0</v>
      </c>
      <c r="F37" s="316"/>
    </row>
    <row r="38" spans="2:6">
      <c r="B38" s="346" t="s">
        <v>534</v>
      </c>
      <c r="C38" s="347">
        <f>EVEN(ROUNDDOWN(IF(AND((C4+C5+C6)&gt;0.9,C15=0,C17=1),((C4+C5+C6)*C3*2/0.5),0),0))</f>
        <v>4</v>
      </c>
      <c r="D38" s="353"/>
      <c r="E38" s="344">
        <f>C38*D38</f>
        <v>0</v>
      </c>
      <c r="F38" s="316"/>
    </row>
    <row r="39" spans="2:6">
      <c r="B39" s="346" t="s">
        <v>683</v>
      </c>
      <c r="C39" s="347">
        <f>(C4+C5+C6)*2</f>
        <v>2</v>
      </c>
      <c r="D39" s="353"/>
      <c r="E39" s="344">
        <f t="shared" si="1"/>
        <v>0</v>
      </c>
      <c r="F39" s="316"/>
    </row>
    <row r="40" spans="2:6">
      <c r="B40" s="346" t="s">
        <v>480</v>
      </c>
      <c r="C40" s="347">
        <f>(C4+C6)*C2</f>
        <v>1.85</v>
      </c>
      <c r="D40" s="353"/>
      <c r="E40" s="344">
        <f t="shared" si="1"/>
        <v>0</v>
      </c>
      <c r="F40" s="316"/>
    </row>
    <row r="41" spans="2:6">
      <c r="B41" s="346" t="s">
        <v>478</v>
      </c>
      <c r="C41" s="347">
        <f>C19*2*C2*(C4+C5+C6)</f>
        <v>0</v>
      </c>
      <c r="D41" s="353"/>
      <c r="E41" s="344">
        <f t="shared" si="1"/>
        <v>0</v>
      </c>
      <c r="F41" s="316"/>
    </row>
    <row r="42" spans="2:6">
      <c r="B42" s="346" t="s">
        <v>477</v>
      </c>
      <c r="C42" s="347">
        <f>(C21+C18)*C2*(C4+C5+C6)</f>
        <v>1.85</v>
      </c>
      <c r="D42" s="353"/>
      <c r="E42" s="344">
        <f t="shared" si="1"/>
        <v>0</v>
      </c>
      <c r="F42" s="316"/>
    </row>
    <row r="43" spans="2:6">
      <c r="B43" s="341" t="s">
        <v>474</v>
      </c>
      <c r="C43" s="342">
        <f>(C5+C20)*C2</f>
        <v>0</v>
      </c>
      <c r="D43" s="353"/>
      <c r="E43" s="344">
        <f t="shared" si="1"/>
        <v>0</v>
      </c>
      <c r="F43" s="316"/>
    </row>
    <row r="44" spans="2:6">
      <c r="B44" s="346" t="s">
        <v>525</v>
      </c>
      <c r="C44" s="347">
        <f>C4*C2</f>
        <v>1.85</v>
      </c>
      <c r="D44" s="353"/>
      <c r="E44" s="344">
        <f>C44*D44</f>
        <v>0</v>
      </c>
      <c r="F44" s="316"/>
    </row>
    <row r="45" spans="2:6">
      <c r="B45" s="341" t="s">
        <v>451</v>
      </c>
      <c r="C45" s="347">
        <f>C2*C5</f>
        <v>0</v>
      </c>
      <c r="D45" s="353"/>
      <c r="E45" s="344">
        <f t="shared" si="1"/>
        <v>0</v>
      </c>
      <c r="F45" s="316"/>
    </row>
    <row r="46" spans="2:6">
      <c r="B46" s="341" t="s">
        <v>450</v>
      </c>
      <c r="C46" s="342">
        <f>C2*C6</f>
        <v>0</v>
      </c>
      <c r="D46" s="353"/>
      <c r="E46" s="344">
        <f t="shared" si="1"/>
        <v>0</v>
      </c>
      <c r="F46" s="316"/>
    </row>
    <row r="47" spans="2:6">
      <c r="B47" s="346" t="s">
        <v>828</v>
      </c>
      <c r="C47" s="347">
        <f>C6+C5+C4</f>
        <v>1</v>
      </c>
      <c r="D47" s="353"/>
      <c r="E47" s="344">
        <f t="shared" si="1"/>
        <v>0</v>
      </c>
      <c r="F47" s="316"/>
    </row>
    <row r="48" spans="2:6">
      <c r="B48" s="346" t="s">
        <v>470</v>
      </c>
      <c r="C48" s="347">
        <f>C6</f>
        <v>0</v>
      </c>
      <c r="D48" s="353"/>
      <c r="E48" s="344">
        <f t="shared" si="1"/>
        <v>0</v>
      </c>
      <c r="F48" s="316"/>
    </row>
    <row r="49" spans="2:6">
      <c r="B49" s="346" t="s">
        <v>367</v>
      </c>
      <c r="C49" s="347">
        <f>C5</f>
        <v>0</v>
      </c>
      <c r="D49" s="353"/>
      <c r="E49" s="344">
        <f t="shared" si="1"/>
        <v>0</v>
      </c>
      <c r="F49" s="316"/>
    </row>
    <row r="50" spans="2:6">
      <c r="B50" s="346" t="s">
        <v>684</v>
      </c>
      <c r="C50" s="347">
        <f>(C4+C6+C5)*2</f>
        <v>2</v>
      </c>
      <c r="D50" s="353"/>
      <c r="E50" s="344">
        <f t="shared" si="1"/>
        <v>0</v>
      </c>
      <c r="F50" s="324"/>
    </row>
    <row r="51" spans="2:6">
      <c r="B51" s="356" t="s">
        <v>454</v>
      </c>
      <c r="C51" s="399">
        <f>C5+C4</f>
        <v>1</v>
      </c>
      <c r="D51" s="353"/>
      <c r="E51" s="400">
        <f t="shared" si="1"/>
        <v>0</v>
      </c>
      <c r="F51" s="316"/>
    </row>
    <row r="52" spans="2:6">
      <c r="B52" s="356" t="s">
        <v>375</v>
      </c>
      <c r="C52" s="399">
        <f>(C8+C7)*(C4+C5)</f>
        <v>1</v>
      </c>
      <c r="D52" s="353"/>
      <c r="E52" s="400">
        <f t="shared" si="1"/>
        <v>0</v>
      </c>
      <c r="F52" s="316"/>
    </row>
    <row r="53" spans="2:6">
      <c r="B53" s="356" t="s">
        <v>497</v>
      </c>
      <c r="C53" s="399">
        <f>C8*C5</f>
        <v>0</v>
      </c>
      <c r="D53" s="353"/>
      <c r="E53" s="400">
        <f t="shared" si="1"/>
        <v>0</v>
      </c>
      <c r="F53" s="316"/>
    </row>
    <row r="54" spans="2:6">
      <c r="B54" s="356" t="s">
        <v>377</v>
      </c>
      <c r="C54" s="399">
        <f>C9*C6</f>
        <v>0</v>
      </c>
      <c r="D54" s="353"/>
      <c r="E54" s="400">
        <f t="shared" si="1"/>
        <v>0</v>
      </c>
      <c r="F54" s="316"/>
    </row>
    <row r="55" spans="2:6" hidden="1">
      <c r="B55" s="356" t="s">
        <v>528</v>
      </c>
      <c r="C55" s="399">
        <f>(C7+C10)*C4</f>
        <v>1</v>
      </c>
      <c r="D55" s="353"/>
      <c r="E55" s="400">
        <f>C55*D55</f>
        <v>0</v>
      </c>
      <c r="F55" s="316"/>
    </row>
    <row r="56" spans="2:6">
      <c r="B56" s="356" t="s">
        <v>378</v>
      </c>
      <c r="C56" s="399">
        <f>C9*C6</f>
        <v>0</v>
      </c>
      <c r="D56" s="353"/>
      <c r="E56" s="400">
        <f t="shared" si="1"/>
        <v>0</v>
      </c>
      <c r="F56" s="316"/>
    </row>
    <row r="57" spans="2:6">
      <c r="B57" s="356" t="s">
        <v>380</v>
      </c>
      <c r="C57" s="399">
        <f>C11*C5</f>
        <v>0</v>
      </c>
      <c r="D57" s="353"/>
      <c r="E57" s="400">
        <f t="shared" si="1"/>
        <v>0</v>
      </c>
      <c r="F57" s="316"/>
    </row>
    <row r="58" spans="2:6">
      <c r="B58" s="356" t="s">
        <v>529</v>
      </c>
      <c r="C58" s="399">
        <f>(C11+C8)*C5</f>
        <v>0</v>
      </c>
      <c r="D58" s="353"/>
      <c r="E58" s="400">
        <f t="shared" si="1"/>
        <v>0</v>
      </c>
      <c r="F58" s="316"/>
    </row>
    <row r="59" spans="2:6">
      <c r="B59" s="356" t="s">
        <v>386</v>
      </c>
      <c r="C59" s="399">
        <f>C12*C6</f>
        <v>0</v>
      </c>
      <c r="D59" s="353"/>
      <c r="E59" s="400">
        <f t="shared" si="1"/>
        <v>0</v>
      </c>
      <c r="F59" s="316"/>
    </row>
    <row r="60" spans="2:6">
      <c r="B60" s="356" t="s">
        <v>387</v>
      </c>
      <c r="C60" s="399">
        <f>C12*C6</f>
        <v>0</v>
      </c>
      <c r="D60" s="353"/>
      <c r="E60" s="400">
        <f t="shared" si="1"/>
        <v>0</v>
      </c>
      <c r="F60" s="316"/>
    </row>
    <row r="61" spans="2:6">
      <c r="B61" s="346" t="s">
        <v>630</v>
      </c>
      <c r="C61" s="347">
        <f>C2*(C4+C5+C6)</f>
        <v>1.85</v>
      </c>
      <c r="D61" s="348"/>
      <c r="E61" s="344">
        <f t="shared" si="1"/>
        <v>0</v>
      </c>
      <c r="F61" s="316"/>
    </row>
    <row r="62" spans="2:6">
      <c r="B62" s="505" t="s">
        <v>631</v>
      </c>
      <c r="C62" s="506">
        <f>C2*(C4+C5+C6)</f>
        <v>1.85</v>
      </c>
      <c r="D62" s="353"/>
      <c r="E62" s="400">
        <f t="shared" si="1"/>
        <v>0</v>
      </c>
      <c r="F62" s="316"/>
    </row>
    <row r="63" spans="2:6">
      <c r="B63" s="505" t="s">
        <v>632</v>
      </c>
      <c r="C63" s="506">
        <f>C4+C5+C6</f>
        <v>1</v>
      </c>
      <c r="D63" s="353"/>
      <c r="E63" s="400">
        <f t="shared" si="1"/>
        <v>0</v>
      </c>
      <c r="F63" s="316"/>
    </row>
    <row r="64" spans="2:6">
      <c r="B64" s="505" t="s">
        <v>633</v>
      </c>
      <c r="C64" s="506">
        <f>C4+C5+C6</f>
        <v>1</v>
      </c>
      <c r="D64" s="522"/>
      <c r="E64" s="400">
        <f t="shared" si="1"/>
        <v>0</v>
      </c>
      <c r="F64" s="357"/>
    </row>
    <row r="65" spans="2:6">
      <c r="B65" s="341" t="s">
        <v>636</v>
      </c>
      <c r="C65" s="342">
        <f>IF(C17=1,C4+C5+C6,0)</f>
        <v>1</v>
      </c>
      <c r="D65" s="353"/>
      <c r="E65" s="400">
        <f t="shared" si="1"/>
        <v>0</v>
      </c>
      <c r="F65" s="357"/>
    </row>
    <row r="66" spans="2:6">
      <c r="B66" s="505" t="s">
        <v>685</v>
      </c>
      <c r="C66" s="506">
        <f>(C4+C5+C6)*2</f>
        <v>2</v>
      </c>
      <c r="D66" s="522"/>
      <c r="E66" s="400">
        <f t="shared" si="1"/>
        <v>0</v>
      </c>
      <c r="F66" s="357"/>
    </row>
    <row r="67" spans="2:6">
      <c r="B67" s="341" t="s">
        <v>637</v>
      </c>
      <c r="C67" s="342">
        <f>IF(C17=1,C3*2*(C4+C5+C6),0)</f>
        <v>2.2000000000000002</v>
      </c>
      <c r="D67" s="353"/>
      <c r="E67" s="400">
        <f t="shared" si="1"/>
        <v>0</v>
      </c>
      <c r="F67" s="357"/>
    </row>
    <row r="68" spans="2:6">
      <c r="B68" s="341" t="s">
        <v>638</v>
      </c>
      <c r="C68" s="342">
        <f>IF(C17=1,C4+C5+C6,0)</f>
        <v>1</v>
      </c>
      <c r="D68" s="353">
        <v>1</v>
      </c>
      <c r="E68" s="400">
        <f t="shared" si="1"/>
        <v>1</v>
      </c>
      <c r="F68" s="357"/>
    </row>
    <row r="69" spans="2:6">
      <c r="B69" s="341" t="s">
        <v>639</v>
      </c>
      <c r="C69" s="342">
        <f>IF(C17=1,C3*2*(C4+C5+C6),0)</f>
        <v>2.2000000000000002</v>
      </c>
      <c r="D69" s="353"/>
      <c r="E69" s="400">
        <f t="shared" si="1"/>
        <v>0</v>
      </c>
      <c r="F69" s="357"/>
    </row>
    <row r="70" spans="2:6">
      <c r="B70" s="341" t="s">
        <v>640</v>
      </c>
      <c r="C70" s="342">
        <f>IF(C16=1,C2*(C4+C5+C6),0)</f>
        <v>0</v>
      </c>
      <c r="D70" s="353"/>
      <c r="E70" s="400">
        <f>C70*D70</f>
        <v>0</v>
      </c>
      <c r="F70" s="357"/>
    </row>
    <row r="71" spans="2:6">
      <c r="B71" s="341" t="s">
        <v>484</v>
      </c>
      <c r="C71" s="342">
        <f>C2*(C4+C5+C6)</f>
        <v>1.85</v>
      </c>
      <c r="D71" s="353"/>
      <c r="E71" s="400">
        <f t="shared" si="1"/>
        <v>0</v>
      </c>
      <c r="F71" s="357"/>
    </row>
    <row r="72" spans="2:6">
      <c r="B72" s="341" t="s">
        <v>457</v>
      </c>
      <c r="C72" s="342">
        <f>IF(C16=1,C2*(C4+C5+C6),0)</f>
        <v>0</v>
      </c>
      <c r="D72" s="353"/>
      <c r="E72" s="400">
        <f t="shared" si="1"/>
        <v>0</v>
      </c>
      <c r="F72" s="357"/>
    </row>
    <row r="73" spans="2:6">
      <c r="B73" s="346" t="s">
        <v>457</v>
      </c>
      <c r="C73" s="347">
        <f>IF(C17=1,C3*4*(C4+C5+C6),0)</f>
        <v>4.4000000000000004</v>
      </c>
      <c r="D73" s="353"/>
      <c r="E73" s="400">
        <f t="shared" si="1"/>
        <v>0</v>
      </c>
      <c r="F73" s="357"/>
    </row>
    <row r="74" spans="2:6">
      <c r="B74" s="346" t="s">
        <v>535</v>
      </c>
      <c r="C74" s="347">
        <f>IF(AND(C17=1,C14=1),((C3*2)+C2)*(C4+C5+C6),0)</f>
        <v>4.0500000000000007</v>
      </c>
      <c r="D74" s="353"/>
      <c r="E74" s="400">
        <f>C74*D74</f>
        <v>0</v>
      </c>
      <c r="F74" s="357"/>
    </row>
    <row r="75" spans="2:6">
      <c r="B75" s="346" t="s">
        <v>369</v>
      </c>
      <c r="C75" s="347">
        <f>C15*((C3*2)+C2+0.3)*(C4+C5+C6)</f>
        <v>0</v>
      </c>
      <c r="D75" s="353"/>
      <c r="E75" s="400">
        <f t="shared" si="1"/>
        <v>0</v>
      </c>
      <c r="F75" s="357"/>
    </row>
    <row r="76" spans="2:6">
      <c r="B76" s="346" t="s">
        <v>370</v>
      </c>
      <c r="C76" s="347">
        <f>C15*2*(C4+C5+C6)</f>
        <v>0</v>
      </c>
      <c r="D76" s="353"/>
      <c r="E76" s="400">
        <f t="shared" si="1"/>
        <v>0</v>
      </c>
      <c r="F76" s="357"/>
    </row>
    <row r="77" spans="2:6">
      <c r="B77" s="346" t="s">
        <v>371</v>
      </c>
      <c r="C77" s="347">
        <f>C15*(C4+C5+C6)</f>
        <v>0</v>
      </c>
      <c r="D77" s="353"/>
      <c r="E77" s="400">
        <f t="shared" si="1"/>
        <v>0</v>
      </c>
      <c r="F77" s="357"/>
    </row>
    <row r="78" spans="2:6">
      <c r="B78" s="346" t="s">
        <v>458</v>
      </c>
      <c r="C78" s="347">
        <f>C15*2*(C4+C5+C6)</f>
        <v>0</v>
      </c>
      <c r="D78" s="353"/>
      <c r="E78" s="400">
        <f t="shared" si="1"/>
        <v>0</v>
      </c>
      <c r="F78" s="357"/>
    </row>
    <row r="79" spans="2:6">
      <c r="B79" s="346" t="s">
        <v>453</v>
      </c>
      <c r="C79" s="347">
        <f>C15*2*(C4+C5+C6)</f>
        <v>0</v>
      </c>
      <c r="D79" s="353"/>
      <c r="E79" s="400">
        <f t="shared" si="1"/>
        <v>0</v>
      </c>
      <c r="F79" s="357"/>
    </row>
    <row r="80" spans="2:6">
      <c r="B80" s="346" t="s">
        <v>336</v>
      </c>
      <c r="C80" s="347">
        <f>C15*(C4+C5+C6)</f>
        <v>0</v>
      </c>
      <c r="D80" s="353"/>
      <c r="E80" s="400">
        <f t="shared" si="1"/>
        <v>0</v>
      </c>
      <c r="F80" s="357"/>
    </row>
    <row r="81" spans="2:7">
      <c r="B81" s="525" t="s">
        <v>145</v>
      </c>
      <c r="C81" s="506">
        <f>C24</f>
        <v>0</v>
      </c>
      <c r="D81" s="522"/>
      <c r="E81" s="400">
        <f t="shared" si="1"/>
        <v>0</v>
      </c>
      <c r="F81" s="357"/>
    </row>
    <row r="82" spans="2:7">
      <c r="B82" s="525" t="s">
        <v>148</v>
      </c>
      <c r="C82" s="506">
        <f>C23</f>
        <v>0</v>
      </c>
      <c r="D82" s="522"/>
      <c r="E82" s="400">
        <f t="shared" si="1"/>
        <v>0</v>
      </c>
      <c r="F82" s="357"/>
    </row>
    <row r="83" spans="2:7">
      <c r="B83" s="525" t="s">
        <v>689</v>
      </c>
      <c r="C83" s="506">
        <f>C25</f>
        <v>0</v>
      </c>
      <c r="D83" s="522"/>
      <c r="E83" s="400">
        <f t="shared" si="1"/>
        <v>0</v>
      </c>
      <c r="F83" s="357"/>
    </row>
    <row r="84" spans="2:7" ht="12" thickBot="1">
      <c r="B84" s="507" t="s">
        <v>634</v>
      </c>
      <c r="C84" s="508">
        <f>EVEN(ROUNDDOWN(IF(C22=1,((C4+C5+C6)*C2/0.5),0),0))</f>
        <v>4</v>
      </c>
      <c r="D84" s="473"/>
      <c r="E84" s="404">
        <f t="shared" si="1"/>
        <v>0</v>
      </c>
      <c r="F84" s="357"/>
    </row>
    <row r="85" spans="2:7" ht="13.5" thickBot="1">
      <c r="B85" s="316"/>
      <c r="C85" s="316"/>
      <c r="D85" s="384" t="s">
        <v>9</v>
      </c>
      <c r="E85" s="389">
        <f>SUMIF(E28:E84,"&gt;0",E28:E84)</f>
        <v>1</v>
      </c>
      <c r="F85" s="357"/>
      <c r="G85" s="249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Jo0gmAM7aOuZDvh2N8QhJv54asAa34I4/1FhnblXd2zSy76Z8GRTCKFoNRf3cdoq7YKo8CmO8SaaeKy1LDOSSQ==" saltValue="GIc4bOC7Pud+t5A0Oa5SGw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614" priority="11" operator="greaterThan">
      <formula>0</formula>
    </cfRule>
  </conditionalFormatting>
  <conditionalFormatting sqref="C13">
    <cfRule type="cellIs" dxfId="613" priority="12" operator="greaterThan">
      <formula>0</formula>
    </cfRule>
  </conditionalFormatting>
  <conditionalFormatting sqref="C13">
    <cfRule type="cellIs" dxfId="612" priority="10" operator="greaterThan">
      <formula>0</formula>
    </cfRule>
  </conditionalFormatting>
  <conditionalFormatting sqref="I3:I21">
    <cfRule type="cellIs" dxfId="611" priority="6" operator="equal">
      <formula>"ДА"</formula>
    </cfRule>
    <cfRule type="cellIs" dxfId="610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609" priority="9" operator="greaterThan">
      <formula>0</formula>
    </cfRule>
  </conditionalFormatting>
  <conditionalFormatting sqref="C2:C22">
    <cfRule type="cellIs" dxfId="608" priority="5" operator="greaterThan">
      <formula>0</formula>
    </cfRule>
  </conditionalFormatting>
  <conditionalFormatting sqref="C84:E84">
    <cfRule type="cellIs" dxfId="607" priority="4" operator="greaterThan">
      <formula>0</formula>
    </cfRule>
  </conditionalFormatting>
  <conditionalFormatting sqref="E85">
    <cfRule type="cellIs" dxfId="606" priority="3" operator="greaterThan">
      <formula>0</formula>
    </cfRule>
  </conditionalFormatting>
  <conditionalFormatting sqref="C23:C25">
    <cfRule type="cellIs" dxfId="605" priority="2" operator="greaterThan">
      <formula>0</formula>
    </cfRule>
  </conditionalFormatting>
  <conditionalFormatting sqref="C81:E83">
    <cfRule type="cellIs" dxfId="60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15"/>
      <c r="C1" s="315"/>
      <c r="D1" s="315"/>
      <c r="E1" s="315"/>
      <c r="F1" s="296"/>
    </row>
    <row r="2" spans="2:15" ht="12" customHeight="1" thickBot="1">
      <c r="B2" s="532" t="s">
        <v>10</v>
      </c>
      <c r="C2" s="539">
        <v>1</v>
      </c>
      <c r="D2" s="1258" t="s">
        <v>595</v>
      </c>
      <c r="E2" s="1259"/>
      <c r="F2" s="1260"/>
      <c r="G2" s="316"/>
      <c r="H2" s="381" t="s">
        <v>485</v>
      </c>
      <c r="I2" s="393" t="s">
        <v>604</v>
      </c>
      <c r="J2" s="382" t="s">
        <v>4</v>
      </c>
      <c r="K2" s="383" t="s">
        <v>8</v>
      </c>
      <c r="L2" s="308"/>
      <c r="M2" s="308"/>
    </row>
    <row r="3" spans="2:15" ht="12" customHeight="1" thickBot="1">
      <c r="B3" s="533" t="s">
        <v>1</v>
      </c>
      <c r="C3" s="540">
        <v>1</v>
      </c>
      <c r="D3" s="1261"/>
      <c r="E3" s="1262"/>
      <c r="F3" s="1263"/>
      <c r="G3" s="316"/>
      <c r="H3" s="317" t="s">
        <v>489</v>
      </c>
      <c r="I3" s="390" t="str">
        <f>IF(AND($C$10+$C$11+$C$12=1,$C$13+$C$14+$C$15=0,C16=1),"ДА","НЕТ")</f>
        <v>НЕТ</v>
      </c>
      <c r="J3" s="318"/>
      <c r="K3" s="319">
        <f>IF(I3="ДА",($C$4+$C$5+$C$6+$C$7+$C$8+$C$9)*J3,0)</f>
        <v>0</v>
      </c>
      <c r="L3" s="308"/>
      <c r="M3" s="308"/>
    </row>
    <row r="4" spans="2:15" ht="12" customHeight="1">
      <c r="B4" s="532" t="s">
        <v>413</v>
      </c>
      <c r="C4" s="541">
        <v>0</v>
      </c>
      <c r="D4" s="1264" t="s">
        <v>596</v>
      </c>
      <c r="E4" s="1232"/>
      <c r="F4" s="1233"/>
      <c r="G4" s="320"/>
      <c r="H4" s="321" t="s">
        <v>486</v>
      </c>
      <c r="I4" s="391" t="str">
        <f>IF(AND($C$10+$C$11+$C$12=1,$C$13+$C$14+$C$15=0,C16=3),"ДА","НЕТ")</f>
        <v>НЕТ</v>
      </c>
      <c r="J4" s="322"/>
      <c r="K4" s="319">
        <f t="shared" ref="K4:K19" si="0">IF(I4="ДА",($C$4+$C$5+$C$6+$C$7+$C$8+$C$9)*J4,0)</f>
        <v>0</v>
      </c>
      <c r="L4" s="248"/>
      <c r="M4" s="248"/>
      <c r="N4" s="248"/>
      <c r="O4" s="248"/>
    </row>
    <row r="5" spans="2:15" ht="12" customHeight="1">
      <c r="B5" s="534" t="s">
        <v>414</v>
      </c>
      <c r="C5" s="542">
        <v>0</v>
      </c>
      <c r="D5" s="1265"/>
      <c r="E5" s="1237"/>
      <c r="F5" s="1238"/>
      <c r="G5" s="316"/>
      <c r="H5" s="321" t="s">
        <v>591</v>
      </c>
      <c r="I5" s="391" t="str">
        <f>IF(AND($C$10+$C$11+$C$12=1,$C$13+$C$14+$C$15=0,C16=3),"ДА","НЕТ")</f>
        <v>НЕТ</v>
      </c>
      <c r="J5" s="322"/>
      <c r="K5" s="319">
        <f t="shared" si="0"/>
        <v>0</v>
      </c>
    </row>
    <row r="6" spans="2:15" ht="12" customHeight="1">
      <c r="B6" s="534" t="s">
        <v>586</v>
      </c>
      <c r="C6" s="542">
        <v>0</v>
      </c>
      <c r="D6" s="1265"/>
      <c r="E6" s="1237"/>
      <c r="F6" s="1238"/>
      <c r="G6" s="316"/>
      <c r="H6" s="321" t="s">
        <v>487</v>
      </c>
      <c r="I6" s="391" t="str">
        <f>IF(AND($C$10+$C$11+$C$12=1,$C$13+$C$14+$C$15=0,C16=2),"ДА","НЕТ")</f>
        <v>НЕТ</v>
      </c>
      <c r="J6" s="322"/>
      <c r="K6" s="319">
        <f t="shared" si="0"/>
        <v>0</v>
      </c>
    </row>
    <row r="7" spans="2:15" ht="12" customHeight="1">
      <c r="B7" s="536" t="s">
        <v>415</v>
      </c>
      <c r="C7" s="544">
        <v>1</v>
      </c>
      <c r="D7" s="1265"/>
      <c r="E7" s="1237"/>
      <c r="F7" s="1238"/>
      <c r="G7" s="316"/>
      <c r="H7" s="321" t="s">
        <v>488</v>
      </c>
      <c r="I7" s="391" t="str">
        <f>IF(AND($C$10+$C$11+$C$12=1,$C$13+$C$14+$C$15=0,C16=2),"ДА","НЕТ")</f>
        <v>НЕТ</v>
      </c>
      <c r="J7" s="322"/>
      <c r="K7" s="319">
        <f t="shared" si="0"/>
        <v>0</v>
      </c>
    </row>
    <row r="8" spans="2:15" ht="12" customHeight="1">
      <c r="B8" s="534" t="s">
        <v>416</v>
      </c>
      <c r="C8" s="542">
        <v>0</v>
      </c>
      <c r="D8" s="1265"/>
      <c r="E8" s="1237"/>
      <c r="F8" s="1238"/>
      <c r="G8" s="316"/>
      <c r="H8" s="321" t="s">
        <v>494</v>
      </c>
      <c r="I8" s="391" t="str">
        <f>IF(AND($C$10+$C$11+$C$12=1,$C$13+$C$14+$C$15=0,C16=2),"ДА","НЕТ")</f>
        <v>НЕТ</v>
      </c>
      <c r="J8" s="322"/>
      <c r="K8" s="319">
        <f t="shared" si="0"/>
        <v>0</v>
      </c>
    </row>
    <row r="9" spans="2:15" ht="12" customHeight="1" thickBot="1">
      <c r="B9" s="535" t="s">
        <v>585</v>
      </c>
      <c r="C9" s="543">
        <v>0</v>
      </c>
      <c r="D9" s="1266"/>
      <c r="E9" s="1235"/>
      <c r="F9" s="1236"/>
      <c r="G9" s="316"/>
      <c r="H9" s="317" t="s">
        <v>590</v>
      </c>
      <c r="I9" s="391" t="str">
        <f>IF(AND($C$12=1,$C$13+$C$14+$C$15+$C$10+$C$11=0,C16=1),"ДА","НЕТ")</f>
        <v>НЕТ</v>
      </c>
      <c r="J9" s="318"/>
      <c r="K9" s="319">
        <f t="shared" si="0"/>
        <v>0</v>
      </c>
    </row>
    <row r="10" spans="2:15" ht="12" customHeight="1">
      <c r="B10" s="532" t="s">
        <v>498</v>
      </c>
      <c r="C10" s="541">
        <v>0</v>
      </c>
      <c r="D10" s="363" t="s">
        <v>287</v>
      </c>
      <c r="E10" s="364" t="s">
        <v>255</v>
      </c>
      <c r="F10" s="1239" t="s">
        <v>596</v>
      </c>
      <c r="G10" s="324"/>
      <c r="H10" s="317" t="s">
        <v>383</v>
      </c>
      <c r="I10" s="391" t="str">
        <f>IF(AND($C$10+$C$11+$C$12+$C$15=0,$C$13+$C$14=1,C16=1),"ДА","НЕТ")</f>
        <v>НЕТ</v>
      </c>
      <c r="J10" s="325"/>
      <c r="K10" s="319">
        <f t="shared" si="0"/>
        <v>0</v>
      </c>
      <c r="L10" s="69"/>
      <c r="M10" s="69"/>
      <c r="N10" s="69"/>
    </row>
    <row r="11" spans="2:15" ht="12" customHeight="1">
      <c r="B11" s="534" t="s">
        <v>499</v>
      </c>
      <c r="C11" s="542">
        <v>0</v>
      </c>
      <c r="D11" s="365" t="s">
        <v>287</v>
      </c>
      <c r="E11" s="366" t="s">
        <v>255</v>
      </c>
      <c r="F11" s="1240"/>
      <c r="G11" s="316"/>
      <c r="H11" s="327" t="s">
        <v>384</v>
      </c>
      <c r="I11" s="391" t="str">
        <f>IF(AND($C$10+$C$11+$C$12+$C$15=0,$C$13+$C$14=1,C16=1),"ДА","НЕТ")</f>
        <v>НЕТ</v>
      </c>
      <c r="J11" s="325"/>
      <c r="K11" s="319">
        <f t="shared" si="0"/>
        <v>0</v>
      </c>
    </row>
    <row r="12" spans="2:15" ht="12" customHeight="1">
      <c r="B12" s="534" t="s">
        <v>587</v>
      </c>
      <c r="C12" s="542">
        <v>0</v>
      </c>
      <c r="D12" s="365" t="s">
        <v>287</v>
      </c>
      <c r="E12" s="367" t="s">
        <v>255</v>
      </c>
      <c r="F12" s="1240"/>
      <c r="G12" s="316"/>
      <c r="H12" s="327" t="s">
        <v>385</v>
      </c>
      <c r="I12" s="391" t="str">
        <f>IF(AND($C$10+$C$11+$C$12+$C$15=0,$C$13+$C$14=1,C16=1),"ДА","НЕТ")</f>
        <v>НЕТ</v>
      </c>
      <c r="J12" s="328"/>
      <c r="K12" s="319">
        <f t="shared" si="0"/>
        <v>0</v>
      </c>
    </row>
    <row r="13" spans="2:15" ht="12" customHeight="1">
      <c r="B13" s="536" t="s">
        <v>500</v>
      </c>
      <c r="C13" s="544">
        <v>1</v>
      </c>
      <c r="D13" s="368" t="s">
        <v>287</v>
      </c>
      <c r="E13" s="369" t="s">
        <v>255</v>
      </c>
      <c r="F13" s="1240"/>
      <c r="G13" s="316"/>
      <c r="H13" s="327" t="s">
        <v>592</v>
      </c>
      <c r="I13" s="391" t="str">
        <f>IF(AND($C$10+$C$11+$C$12+$C$13+$C$14=0,$C$15=1,C16=1),"ДА","НЕТ")</f>
        <v>НЕТ</v>
      </c>
      <c r="J13" s="328"/>
      <c r="K13" s="319">
        <f t="shared" si="0"/>
        <v>0</v>
      </c>
    </row>
    <row r="14" spans="2:15" ht="12" customHeight="1">
      <c r="B14" s="534" t="s">
        <v>501</v>
      </c>
      <c r="C14" s="542">
        <v>0</v>
      </c>
      <c r="D14" s="365" t="s">
        <v>287</v>
      </c>
      <c r="E14" s="366" t="s">
        <v>255</v>
      </c>
      <c r="F14" s="1240"/>
      <c r="G14" s="316"/>
      <c r="H14" s="327" t="s">
        <v>592</v>
      </c>
      <c r="I14" s="391" t="str">
        <f>IF(AND($C$10+$C$11+$C$12+$C$13+$C$14=0,$C$15=1,C16=1),"ДА","НЕТ")</f>
        <v>НЕТ</v>
      </c>
      <c r="J14" s="328"/>
      <c r="K14" s="319">
        <f t="shared" si="0"/>
        <v>0</v>
      </c>
    </row>
    <row r="15" spans="2:15" ht="12" customHeight="1" thickBot="1">
      <c r="B15" s="535" t="s">
        <v>588</v>
      </c>
      <c r="C15" s="543">
        <v>0</v>
      </c>
      <c r="D15" s="370" t="s">
        <v>287</v>
      </c>
      <c r="E15" s="371" t="s">
        <v>255</v>
      </c>
      <c r="F15" s="1241"/>
      <c r="G15" s="316"/>
      <c r="H15" s="317" t="s">
        <v>388</v>
      </c>
      <c r="I15" s="391" t="str">
        <f>IF(AND($C$10+$C$11+$C$12+$C$15=0,$C$13+$C$14=1,C16=2),"ДА","НЕТ")</f>
        <v>НЕТ</v>
      </c>
      <c r="J15" s="325"/>
      <c r="K15" s="319">
        <f t="shared" si="0"/>
        <v>0</v>
      </c>
    </row>
    <row r="16" spans="2:15" ht="12" customHeight="1" thickBot="1">
      <c r="B16" s="535" t="s">
        <v>589</v>
      </c>
      <c r="C16" s="543">
        <v>0</v>
      </c>
      <c r="D16" s="370" t="s">
        <v>619</v>
      </c>
      <c r="E16" s="371" t="s">
        <v>620</v>
      </c>
      <c r="F16" s="376" t="s">
        <v>621</v>
      </c>
      <c r="G16" s="316"/>
      <c r="H16" s="327" t="s">
        <v>389</v>
      </c>
      <c r="I16" s="391" t="str">
        <f>IF(AND($C$10+$C$11+$C$12+$C$15=0,$C$13+$C$14=1,C16=2),"ДА","НЕТ")</f>
        <v>НЕТ</v>
      </c>
      <c r="J16" s="325"/>
      <c r="K16" s="319">
        <f t="shared" si="0"/>
        <v>0</v>
      </c>
    </row>
    <row r="17" spans="2:13" ht="12" customHeight="1" thickBot="1">
      <c r="B17" s="537" t="s">
        <v>531</v>
      </c>
      <c r="C17" s="545">
        <v>0</v>
      </c>
      <c r="D17" s="372" t="s">
        <v>287</v>
      </c>
      <c r="E17" s="373" t="s">
        <v>255</v>
      </c>
      <c r="F17" s="470" t="s">
        <v>669</v>
      </c>
      <c r="G17" s="316"/>
      <c r="H17" s="327" t="s">
        <v>390</v>
      </c>
      <c r="I17" s="391" t="str">
        <f>IF(AND($C$10+$C$11+$C$12+$C$15=0,$C$13+$C$14=1,C16=2),"ДА","НЕТ")</f>
        <v>НЕТ</v>
      </c>
      <c r="J17" s="325"/>
      <c r="K17" s="319">
        <f t="shared" si="0"/>
        <v>0</v>
      </c>
    </row>
    <row r="18" spans="2:13" ht="12" customHeight="1" thickBot="1">
      <c r="B18" s="535" t="s">
        <v>532</v>
      </c>
      <c r="C18" s="543">
        <v>0</v>
      </c>
      <c r="D18" s="370" t="s">
        <v>287</v>
      </c>
      <c r="E18" s="371" t="s">
        <v>255</v>
      </c>
      <c r="F18" s="560"/>
      <c r="G18" s="316"/>
      <c r="H18" s="317" t="s">
        <v>593</v>
      </c>
      <c r="I18" s="390" t="str">
        <f>IF(AND($C$10+$C$11+$C$12+$C$13+$C$14=0,$C$15=1,C16=2),"ДА","НЕТ")</f>
        <v>НЕТ</v>
      </c>
      <c r="J18" s="329"/>
      <c r="K18" s="319">
        <f t="shared" si="0"/>
        <v>0</v>
      </c>
    </row>
    <row r="19" spans="2:13" ht="12" customHeight="1" thickBot="1">
      <c r="B19" s="538" t="s">
        <v>393</v>
      </c>
      <c r="C19" s="546">
        <v>0</v>
      </c>
      <c r="D19" s="374" t="s">
        <v>394</v>
      </c>
      <c r="E19" s="375" t="s">
        <v>395</v>
      </c>
      <c r="F19" s="560"/>
      <c r="G19" s="316"/>
      <c r="H19" s="331" t="s">
        <v>594</v>
      </c>
      <c r="I19" s="392" t="str">
        <f>IF(AND($C$10+$C$11+$C$12+$C$13+$C$14=0,$C$15=1,C16=2),"ДА","НЕТ")</f>
        <v>НЕТ</v>
      </c>
      <c r="J19" s="332"/>
      <c r="K19" s="475">
        <f t="shared" si="0"/>
        <v>0</v>
      </c>
    </row>
    <row r="20" spans="2:13" ht="12" customHeight="1" thickBot="1">
      <c r="B20" s="537" t="s">
        <v>358</v>
      </c>
      <c r="C20" s="545">
        <v>0</v>
      </c>
      <c r="D20" s="372" t="s">
        <v>417</v>
      </c>
      <c r="E20" s="373" t="s">
        <v>418</v>
      </c>
      <c r="F20" s="561"/>
      <c r="G20" s="316"/>
      <c r="H20" s="334"/>
      <c r="I20" s="335"/>
      <c r="J20" s="336"/>
      <c r="K20" s="337"/>
    </row>
    <row r="21" spans="2:13" ht="12" customHeight="1">
      <c r="B21" s="536" t="s">
        <v>361</v>
      </c>
      <c r="C21" s="544">
        <v>0</v>
      </c>
      <c r="D21" s="363" t="s">
        <v>287</v>
      </c>
      <c r="E21" s="364" t="s">
        <v>255</v>
      </c>
      <c r="F21" s="1239" t="s">
        <v>597</v>
      </c>
      <c r="G21" s="316"/>
      <c r="H21" s="316"/>
      <c r="I21" s="316"/>
      <c r="J21" s="316"/>
      <c r="K21" s="316"/>
    </row>
    <row r="22" spans="2:13" ht="12" customHeight="1">
      <c r="B22" s="536" t="s">
        <v>466</v>
      </c>
      <c r="C22" s="544">
        <v>0</v>
      </c>
      <c r="D22" s="365" t="s">
        <v>287</v>
      </c>
      <c r="E22" s="366" t="s">
        <v>255</v>
      </c>
      <c r="F22" s="1240"/>
      <c r="G22" s="316"/>
      <c r="H22" s="316"/>
      <c r="I22" s="316"/>
      <c r="J22" s="316"/>
      <c r="K22" s="316"/>
    </row>
    <row r="23" spans="2:13" ht="12" customHeight="1">
      <c r="B23" s="534" t="s">
        <v>362</v>
      </c>
      <c r="C23" s="542">
        <v>0</v>
      </c>
      <c r="D23" s="365" t="s">
        <v>287</v>
      </c>
      <c r="E23" s="366" t="s">
        <v>255</v>
      </c>
      <c r="F23" s="1240"/>
      <c r="G23" s="338"/>
      <c r="H23" s="338"/>
      <c r="I23" s="338"/>
      <c r="J23" s="338"/>
      <c r="K23" s="338"/>
      <c r="L23" s="5"/>
      <c r="M23" s="5"/>
    </row>
    <row r="24" spans="2:13" ht="12" customHeight="1" thickBot="1">
      <c r="B24" s="533" t="s">
        <v>467</v>
      </c>
      <c r="C24" s="547">
        <v>0</v>
      </c>
      <c r="D24" s="370" t="s">
        <v>287</v>
      </c>
      <c r="E24" s="371" t="s">
        <v>255</v>
      </c>
      <c r="F24" s="1241"/>
      <c r="G24" s="316"/>
      <c r="H24" s="316"/>
      <c r="I24" s="316"/>
      <c r="J24" s="316"/>
      <c r="K24" s="316"/>
    </row>
    <row r="25" spans="2:13" ht="12" customHeight="1">
      <c r="B25" s="724" t="s">
        <v>147</v>
      </c>
      <c r="C25" s="726">
        <v>0</v>
      </c>
      <c r="D25" s="1267" t="s">
        <v>686</v>
      </c>
      <c r="E25" s="1243"/>
      <c r="F25" s="1244"/>
      <c r="G25" s="316"/>
      <c r="H25" s="316"/>
      <c r="I25" s="316"/>
      <c r="J25" s="316"/>
      <c r="K25" s="316"/>
    </row>
    <row r="26" spans="2:13" ht="12" customHeight="1" thickBot="1">
      <c r="B26" s="725" t="s">
        <v>146</v>
      </c>
      <c r="C26" s="727">
        <v>0</v>
      </c>
      <c r="D26" s="1268" t="s">
        <v>687</v>
      </c>
      <c r="E26" s="1249"/>
      <c r="F26" s="1250"/>
      <c r="G26" s="316"/>
      <c r="H26" s="316"/>
      <c r="I26" s="316"/>
      <c r="J26" s="316"/>
      <c r="K26" s="316"/>
    </row>
    <row r="27" spans="2:13" ht="12" customHeight="1" thickBot="1">
      <c r="B27" s="1257"/>
      <c r="C27" s="1257"/>
      <c r="D27" s="1257"/>
      <c r="E27" s="1257"/>
      <c r="F27" s="339"/>
      <c r="G27" s="316"/>
      <c r="H27" s="316"/>
      <c r="I27" s="316"/>
      <c r="J27" s="316"/>
      <c r="K27" s="316"/>
    </row>
    <row r="28" spans="2:13" ht="12" customHeight="1">
      <c r="B28" s="377" t="s">
        <v>5</v>
      </c>
      <c r="C28" s="378" t="s">
        <v>0</v>
      </c>
      <c r="D28" s="379" t="s">
        <v>4</v>
      </c>
      <c r="E28" s="380" t="s">
        <v>8</v>
      </c>
      <c r="F28" s="340"/>
      <c r="G28" s="316"/>
      <c r="H28" s="316"/>
      <c r="I28" s="316"/>
      <c r="J28" s="316"/>
      <c r="K28" s="316"/>
    </row>
    <row r="29" spans="2:13" ht="12" customHeight="1">
      <c r="B29" s="341" t="s">
        <v>563</v>
      </c>
      <c r="C29" s="342">
        <f>IF(C17=0,C24*(C4+C5+C7+C8+C6+C9),0)</f>
        <v>0</v>
      </c>
      <c r="D29" s="343"/>
      <c r="E29" s="344">
        <f t="shared" ref="E29:E81" si="1">C29*D29</f>
        <v>0</v>
      </c>
      <c r="F29" s="345"/>
      <c r="G29" s="316"/>
      <c r="H29" s="316"/>
      <c r="I29" s="316"/>
      <c r="J29" s="316"/>
      <c r="K29" s="316"/>
    </row>
    <row r="30" spans="2:13" ht="12" customHeight="1">
      <c r="B30" s="341" t="s">
        <v>564</v>
      </c>
      <c r="C30" s="342">
        <f>C22*(C4+C5+C7+C8+C6+C9)</f>
        <v>0</v>
      </c>
      <c r="D30" s="343"/>
      <c r="E30" s="344">
        <f>C30*D30</f>
        <v>0</v>
      </c>
      <c r="F30" s="345"/>
      <c r="G30" s="316"/>
      <c r="H30" s="316"/>
      <c r="I30" s="316"/>
      <c r="J30" s="316"/>
      <c r="K30" s="316"/>
    </row>
    <row r="31" spans="2:13" ht="12" customHeight="1">
      <c r="B31" s="341" t="s">
        <v>117</v>
      </c>
      <c r="C31" s="342">
        <f>(C21+C23)*2*(C4+C5+C7+C8+C6+C9)</f>
        <v>0</v>
      </c>
      <c r="D31" s="343"/>
      <c r="E31" s="344">
        <f t="shared" si="1"/>
        <v>0</v>
      </c>
      <c r="F31" s="345"/>
      <c r="G31" s="316"/>
      <c r="H31" s="316"/>
      <c r="I31" s="316"/>
      <c r="J31" s="316"/>
      <c r="K31" s="316"/>
    </row>
    <row r="32" spans="2:13" ht="12" customHeight="1">
      <c r="B32" s="346" t="s">
        <v>641</v>
      </c>
      <c r="C32" s="347">
        <f>EVEN(ROUNDDOWN(IF(AND(C7+C8+C9&gt;0.9,C4+C5+C6=0),(C7+C8)*C2/0.5,0),0))</f>
        <v>2</v>
      </c>
      <c r="D32" s="348"/>
      <c r="E32" s="344">
        <f t="shared" si="1"/>
        <v>0</v>
      </c>
      <c r="F32" s="345"/>
      <c r="G32" s="324"/>
      <c r="H32" s="324"/>
      <c r="I32" s="316"/>
      <c r="J32" s="316"/>
      <c r="K32" s="316"/>
    </row>
    <row r="33" spans="2:11" ht="12" customHeight="1">
      <c r="B33" s="346" t="s">
        <v>459</v>
      </c>
      <c r="C33" s="347">
        <f>IF(AND(C10+C11+C12&gt;0,C13+C14+C15=0,C19=1,C20=0,C18=1),(C4+C5+C7+C8+C6+C9),0)</f>
        <v>0</v>
      </c>
      <c r="D33" s="348"/>
      <c r="E33" s="344">
        <f>C33*D33</f>
        <v>0</v>
      </c>
      <c r="F33" s="345"/>
      <c r="G33" s="349"/>
      <c r="H33" s="316"/>
      <c r="I33" s="316"/>
      <c r="J33" s="316"/>
      <c r="K33" s="316"/>
    </row>
    <row r="34" spans="2:11" ht="12" customHeight="1">
      <c r="B34" s="346" t="s">
        <v>460</v>
      </c>
      <c r="C34" s="342">
        <f>IF(AND(C10+C11+C12&gt;0,C13+C14+C15=0,C19=1,C20=1,C18=1),(C4+C5+C7+C8+C6+C9),0)</f>
        <v>0</v>
      </c>
      <c r="D34" s="343"/>
      <c r="E34" s="344">
        <f>C34*D34</f>
        <v>0</v>
      </c>
      <c r="F34" s="345"/>
      <c r="G34" s="339"/>
      <c r="H34" s="339"/>
      <c r="I34" s="316"/>
      <c r="J34" s="316"/>
      <c r="K34" s="316"/>
    </row>
    <row r="35" spans="2:11" ht="12" customHeight="1">
      <c r="B35" s="346" t="s">
        <v>420</v>
      </c>
      <c r="C35" s="342">
        <f>IF(AND(C10+C11+C12&gt;0,C13+C14+C15=0,C19=1,C20=0,C18=1),(C4+C5+C7+C8+C6+C9),0)</f>
        <v>0</v>
      </c>
      <c r="D35" s="343">
        <v>1</v>
      </c>
      <c r="E35" s="344">
        <f t="shared" ref="E35:E36" si="2">C35*D35</f>
        <v>0</v>
      </c>
      <c r="F35" s="345"/>
      <c r="G35" s="787"/>
      <c r="H35" s="787"/>
      <c r="I35" s="316"/>
      <c r="J35" s="316"/>
      <c r="K35" s="316"/>
    </row>
    <row r="36" spans="2:11" ht="12" customHeight="1">
      <c r="B36" s="346" t="s">
        <v>421</v>
      </c>
      <c r="C36" s="342">
        <f>IF(AND(C10+C11+C12&gt;0,C13+C14+C15=0,C19=1,C20=1,C18=1),(C4+C5+C7+C8+C6+C9),0)</f>
        <v>0</v>
      </c>
      <c r="D36" s="343"/>
      <c r="E36" s="344">
        <f t="shared" si="2"/>
        <v>0</v>
      </c>
      <c r="F36" s="345"/>
      <c r="G36" s="787"/>
      <c r="H36" s="787"/>
      <c r="I36" s="316"/>
      <c r="J36" s="316"/>
      <c r="K36" s="316"/>
    </row>
    <row r="37" spans="2:11" ht="12" customHeight="1">
      <c r="B37" s="346" t="s">
        <v>420</v>
      </c>
      <c r="C37" s="347">
        <f>IF(AND(C10+C11+C12&gt;0,C13+C14+C15=0,C19=0,C20=0),(C4+C5+C7+C8+C6+C9)*2,0)</f>
        <v>0</v>
      </c>
      <c r="D37" s="348"/>
      <c r="E37" s="344">
        <f>C37*D37</f>
        <v>0</v>
      </c>
      <c r="F37" s="345"/>
      <c r="G37" s="349"/>
      <c r="H37" s="316"/>
      <c r="I37" s="316"/>
      <c r="J37" s="316"/>
      <c r="K37" s="316"/>
    </row>
    <row r="38" spans="2:11" ht="12" customHeight="1">
      <c r="B38" s="346" t="s">
        <v>421</v>
      </c>
      <c r="C38" s="350">
        <f>IF(AND(C10+C11+C12&gt;0,C13+C14+C15=0,C19=0,C20=1),(C4+C5+C7+C8+C6+C9)*2,0)</f>
        <v>0</v>
      </c>
      <c r="D38" s="351"/>
      <c r="E38" s="344">
        <f>C38*D38</f>
        <v>0</v>
      </c>
      <c r="F38" s="345"/>
      <c r="G38" s="316"/>
      <c r="H38" s="316"/>
      <c r="I38" s="316"/>
      <c r="J38" s="316"/>
      <c r="K38" s="316"/>
    </row>
    <row r="39" spans="2:11" ht="12" customHeight="1">
      <c r="B39" s="346" t="s">
        <v>420</v>
      </c>
      <c r="C39" s="347">
        <f>IF(AND(C10+C11+C12=0,C13+C14+C15&gt;0,C19=0,C20=0),(C4+C5+C7+C8+C6+C9),0)</f>
        <v>1</v>
      </c>
      <c r="D39" s="348"/>
      <c r="E39" s="344">
        <f t="shared" si="1"/>
        <v>0</v>
      </c>
      <c r="F39" s="345"/>
      <c r="G39" s="352"/>
      <c r="H39" s="339"/>
      <c r="I39" s="316"/>
      <c r="J39" s="316"/>
      <c r="K39" s="316"/>
    </row>
    <row r="40" spans="2:11" ht="12" customHeight="1">
      <c r="B40" s="346" t="s">
        <v>421</v>
      </c>
      <c r="C40" s="350">
        <f>IF(AND(C10+C11+C12=0,C13+C14+C15&gt;0,C19=0,C20=1),(C4+C5+C7+C8+C6+C9),0)</f>
        <v>0</v>
      </c>
      <c r="D40" s="351"/>
      <c r="E40" s="344">
        <f t="shared" si="1"/>
        <v>0</v>
      </c>
      <c r="F40" s="345"/>
      <c r="G40" s="316"/>
      <c r="H40" s="316"/>
      <c r="I40" s="316"/>
      <c r="J40" s="316"/>
      <c r="K40" s="316"/>
    </row>
    <row r="41" spans="2:11" ht="12" customHeight="1">
      <c r="B41" s="346" t="s">
        <v>511</v>
      </c>
      <c r="C41" s="347">
        <f>IF(AND(C10+C11=0,C13+C14&gt;0,C20=0),(C4+C5+C7+C8+C6+C9),0)</f>
        <v>1</v>
      </c>
      <c r="D41" s="348"/>
      <c r="E41" s="344">
        <f>C41*D41</f>
        <v>0</v>
      </c>
      <c r="F41" s="345"/>
      <c r="G41" s="316"/>
      <c r="H41" s="316"/>
      <c r="I41" s="316"/>
      <c r="J41" s="316"/>
      <c r="K41" s="316"/>
    </row>
    <row r="42" spans="2:11" ht="12" customHeight="1">
      <c r="B42" s="346" t="s">
        <v>512</v>
      </c>
      <c r="C42" s="350">
        <f>IF(AND(C10+C11=0,C13+C14&gt;0,C20=1),(C4+C5+C7+C8+C6+C9),0)</f>
        <v>0</v>
      </c>
      <c r="D42" s="351"/>
      <c r="E42" s="344">
        <f>C42*D42</f>
        <v>0</v>
      </c>
      <c r="F42" s="345"/>
      <c r="G42" s="316"/>
      <c r="H42" s="316"/>
      <c r="I42" s="316"/>
      <c r="J42" s="316"/>
      <c r="K42" s="316"/>
    </row>
    <row r="43" spans="2:11" ht="12" customHeight="1">
      <c r="B43" s="341" t="s">
        <v>642</v>
      </c>
      <c r="C43" s="350">
        <f>(C4+C5+C6)*2</f>
        <v>0</v>
      </c>
      <c r="D43" s="351"/>
      <c r="E43" s="344">
        <f t="shared" si="1"/>
        <v>0</v>
      </c>
      <c r="F43" s="345"/>
      <c r="G43" s="316"/>
      <c r="H43" s="316"/>
      <c r="I43" s="316"/>
      <c r="J43" s="316"/>
      <c r="K43" s="316"/>
    </row>
    <row r="44" spans="2:11" ht="12" customHeight="1">
      <c r="B44" s="346" t="s">
        <v>643</v>
      </c>
      <c r="C44" s="350">
        <f>IF(C4+C5=0,(C7+C8+C9)*2,0)</f>
        <v>2</v>
      </c>
      <c r="D44" s="351"/>
      <c r="E44" s="344">
        <f t="shared" si="1"/>
        <v>0</v>
      </c>
      <c r="F44" s="345"/>
      <c r="G44" s="316"/>
      <c r="H44" s="316"/>
      <c r="I44" s="316"/>
      <c r="J44" s="316"/>
      <c r="K44" s="316"/>
    </row>
    <row r="45" spans="2:11" ht="12" customHeight="1">
      <c r="B45" s="346" t="s">
        <v>432</v>
      </c>
      <c r="C45" s="342">
        <f>C4+C7</f>
        <v>1</v>
      </c>
      <c r="D45" s="343"/>
      <c r="E45" s="344">
        <f t="shared" si="1"/>
        <v>0</v>
      </c>
      <c r="F45" s="345"/>
      <c r="G45" s="316"/>
      <c r="H45" s="316"/>
      <c r="I45" s="316"/>
      <c r="J45" s="316"/>
      <c r="K45" s="316"/>
    </row>
    <row r="46" spans="2:11" ht="12" customHeight="1">
      <c r="B46" s="346" t="s">
        <v>433</v>
      </c>
      <c r="C46" s="347">
        <f>(C4+C7)*2</f>
        <v>2</v>
      </c>
      <c r="D46" s="348"/>
      <c r="E46" s="344">
        <f t="shared" si="1"/>
        <v>0</v>
      </c>
      <c r="F46" s="345"/>
      <c r="G46" s="316"/>
      <c r="H46" s="316"/>
      <c r="I46" s="316"/>
      <c r="J46" s="316"/>
      <c r="K46" s="316"/>
    </row>
    <row r="47" spans="2:11" ht="12" customHeight="1">
      <c r="B47" s="346" t="s">
        <v>600</v>
      </c>
      <c r="C47" s="347">
        <f>(C6+C9)*2</f>
        <v>0</v>
      </c>
      <c r="D47" s="348"/>
      <c r="E47" s="344">
        <f>C47*D47</f>
        <v>0</v>
      </c>
      <c r="F47" s="345"/>
      <c r="G47" s="316"/>
      <c r="H47" s="316"/>
      <c r="I47" s="316"/>
      <c r="J47" s="316"/>
      <c r="K47" s="316"/>
    </row>
    <row r="48" spans="2:11" ht="12" customHeight="1">
      <c r="B48" s="346" t="s">
        <v>434</v>
      </c>
      <c r="C48" s="347">
        <f>C5+C8+C6+C9</f>
        <v>0</v>
      </c>
      <c r="D48" s="348"/>
      <c r="E48" s="344">
        <f t="shared" si="1"/>
        <v>0</v>
      </c>
      <c r="F48" s="345"/>
      <c r="G48" s="316"/>
      <c r="H48" s="316"/>
      <c r="I48" s="316"/>
      <c r="J48" s="316"/>
      <c r="K48" s="316"/>
    </row>
    <row r="49" spans="2:11" ht="12" customHeight="1">
      <c r="B49" s="346" t="s">
        <v>644</v>
      </c>
      <c r="C49" s="347">
        <f>IF(C17=0,(C7+C8+C9)*2,0)</f>
        <v>2</v>
      </c>
      <c r="D49" s="348"/>
      <c r="E49" s="344">
        <f t="shared" si="1"/>
        <v>0</v>
      </c>
      <c r="F49" s="345"/>
      <c r="G49" s="316"/>
      <c r="H49" s="316"/>
      <c r="I49" s="316"/>
      <c r="J49" s="316"/>
      <c r="K49" s="316"/>
    </row>
    <row r="50" spans="2:11" ht="12" customHeight="1">
      <c r="B50" s="346" t="s">
        <v>474</v>
      </c>
      <c r="C50" s="347">
        <f>C24*C2*(C4+C5+C7+C8+C6+C9)</f>
        <v>0</v>
      </c>
      <c r="D50" s="348"/>
      <c r="E50" s="344">
        <f>C50*D50</f>
        <v>0</v>
      </c>
      <c r="F50" s="345"/>
      <c r="G50" s="316"/>
      <c r="H50" s="316"/>
      <c r="I50" s="316"/>
      <c r="J50" s="316"/>
      <c r="K50" s="316"/>
    </row>
    <row r="51" spans="2:11" ht="12" customHeight="1">
      <c r="B51" s="341" t="s">
        <v>474</v>
      </c>
      <c r="C51" s="347">
        <f>C2*(C4+C5+C7+C8+C6+C9)</f>
        <v>1</v>
      </c>
      <c r="D51" s="348"/>
      <c r="E51" s="344">
        <f t="shared" si="1"/>
        <v>0</v>
      </c>
      <c r="F51" s="345"/>
      <c r="G51" s="316"/>
      <c r="H51" s="316"/>
      <c r="I51" s="316"/>
      <c r="J51" s="316"/>
      <c r="K51" s="316"/>
    </row>
    <row r="52" spans="2:11" ht="12" customHeight="1">
      <c r="B52" s="346" t="s">
        <v>363</v>
      </c>
      <c r="C52" s="347">
        <f>C23*2*C2*(C4+C5+C7+C8+C6+C9)</f>
        <v>0</v>
      </c>
      <c r="D52" s="348"/>
      <c r="E52" s="344">
        <f t="shared" si="1"/>
        <v>0</v>
      </c>
      <c r="F52" s="345"/>
      <c r="G52" s="316"/>
      <c r="H52" s="316"/>
      <c r="I52" s="316"/>
      <c r="J52" s="316"/>
      <c r="K52" s="316"/>
    </row>
    <row r="53" spans="2:11" ht="12" customHeight="1">
      <c r="B53" s="346" t="s">
        <v>477</v>
      </c>
      <c r="C53" s="347">
        <f>C22*C2*(C4+C5+C7+C8+C6+C9)</f>
        <v>0</v>
      </c>
      <c r="D53" s="353"/>
      <c r="E53" s="344">
        <f t="shared" si="1"/>
        <v>0</v>
      </c>
      <c r="F53" s="345"/>
      <c r="G53" s="316"/>
      <c r="H53" s="316"/>
      <c r="I53" s="316"/>
      <c r="J53" s="316"/>
      <c r="K53" s="316"/>
    </row>
    <row r="54" spans="2:11" ht="12" customHeight="1">
      <c r="B54" s="346" t="s">
        <v>467</v>
      </c>
      <c r="C54" s="347">
        <f>C24*C2*(C4+C5+C7+C8+C6+C9)</f>
        <v>0</v>
      </c>
      <c r="D54" s="348"/>
      <c r="E54" s="344">
        <f t="shared" si="1"/>
        <v>0</v>
      </c>
      <c r="F54" s="345"/>
      <c r="G54" s="316"/>
      <c r="H54" s="316"/>
      <c r="I54" s="316"/>
      <c r="J54" s="316"/>
      <c r="K54" s="316"/>
    </row>
    <row r="55" spans="2:11" ht="12" customHeight="1">
      <c r="B55" s="346" t="s">
        <v>645</v>
      </c>
      <c r="C55" s="347">
        <f>C22*C2*(C4+C5+C7+C8+C6+C9)</f>
        <v>0</v>
      </c>
      <c r="D55" s="348"/>
      <c r="E55" s="344">
        <f>C55*D55</f>
        <v>0</v>
      </c>
      <c r="F55" s="345"/>
      <c r="G55" s="316"/>
      <c r="H55" s="316"/>
      <c r="I55" s="316"/>
      <c r="J55" s="316"/>
      <c r="K55" s="316"/>
    </row>
    <row r="56" spans="2:11" ht="12" customHeight="1">
      <c r="B56" s="346" t="s">
        <v>364</v>
      </c>
      <c r="C56" s="347">
        <f>C21*C2*(C4+C5+C7+C8+C6+C9)</f>
        <v>0</v>
      </c>
      <c r="D56" s="348"/>
      <c r="E56" s="344">
        <f t="shared" si="1"/>
        <v>0</v>
      </c>
      <c r="F56" s="345"/>
      <c r="G56" s="316"/>
      <c r="H56" s="316"/>
      <c r="I56" s="316"/>
      <c r="J56" s="316"/>
      <c r="K56" s="316"/>
    </row>
    <row r="57" spans="2:11" ht="12" customHeight="1">
      <c r="B57" s="346" t="s">
        <v>365</v>
      </c>
      <c r="C57" s="354">
        <f>C23*C2*(C4+C5+C7+C8+C6+C9)</f>
        <v>0</v>
      </c>
      <c r="D57" s="348"/>
      <c r="E57" s="344">
        <f t="shared" si="1"/>
        <v>0</v>
      </c>
      <c r="F57" s="345"/>
      <c r="G57" s="316"/>
      <c r="H57" s="316"/>
      <c r="I57" s="316"/>
      <c r="J57" s="316"/>
      <c r="K57" s="316"/>
    </row>
    <row r="58" spans="2:11" ht="12" customHeight="1">
      <c r="B58" s="341" t="s">
        <v>461</v>
      </c>
      <c r="C58" s="354">
        <f>(C4+C7)*C2</f>
        <v>1</v>
      </c>
      <c r="D58" s="348"/>
      <c r="E58" s="344">
        <f t="shared" si="1"/>
        <v>0</v>
      </c>
      <c r="F58" s="345"/>
      <c r="G58" s="316"/>
      <c r="H58" s="316"/>
      <c r="I58" s="316"/>
      <c r="J58" s="316"/>
      <c r="K58" s="316"/>
    </row>
    <row r="59" spans="2:11" ht="12" customHeight="1">
      <c r="B59" s="341" t="s">
        <v>462</v>
      </c>
      <c r="C59" s="354">
        <f>(C5+C8)*C2</f>
        <v>0</v>
      </c>
      <c r="D59" s="348"/>
      <c r="E59" s="344">
        <f t="shared" si="1"/>
        <v>0</v>
      </c>
      <c r="F59" s="345"/>
      <c r="G59" s="349"/>
      <c r="H59" s="316"/>
      <c r="I59" s="316"/>
      <c r="J59" s="316"/>
      <c r="K59" s="316"/>
    </row>
    <row r="60" spans="2:11" ht="12" customHeight="1">
      <c r="B60" s="341" t="s">
        <v>601</v>
      </c>
      <c r="C60" s="354">
        <f>(C6+C9)*C2</f>
        <v>0</v>
      </c>
      <c r="D60" s="348"/>
      <c r="E60" s="344">
        <f>C60*D60</f>
        <v>0</v>
      </c>
      <c r="F60" s="345"/>
      <c r="G60" s="349"/>
      <c r="H60" s="316"/>
      <c r="I60" s="316"/>
      <c r="J60" s="316"/>
      <c r="K60" s="316"/>
    </row>
    <row r="61" spans="2:11" ht="12" customHeight="1">
      <c r="B61" s="341" t="s">
        <v>422</v>
      </c>
      <c r="C61" s="354">
        <f>IF(C4+C5=0,(C7+C8+C9)*C2,0)</f>
        <v>1</v>
      </c>
      <c r="D61" s="348"/>
      <c r="E61" s="344">
        <f t="shared" si="1"/>
        <v>0</v>
      </c>
      <c r="F61" s="345"/>
      <c r="G61" s="316"/>
      <c r="H61" s="316"/>
      <c r="I61" s="316"/>
      <c r="J61" s="316"/>
      <c r="K61" s="316"/>
    </row>
    <row r="62" spans="2:11" ht="12" customHeight="1">
      <c r="B62" s="346" t="s">
        <v>646</v>
      </c>
      <c r="C62" s="354">
        <f>C18*(C4+C5+C7+C8+C6+C9)</f>
        <v>0</v>
      </c>
      <c r="D62" s="353"/>
      <c r="E62" s="344">
        <f t="shared" si="1"/>
        <v>0</v>
      </c>
      <c r="F62" s="345"/>
      <c r="G62" s="316"/>
      <c r="H62" s="316"/>
      <c r="I62" s="316"/>
      <c r="J62" s="316"/>
      <c r="K62" s="316"/>
    </row>
    <row r="63" spans="2:11" ht="12" customHeight="1">
      <c r="B63" s="346" t="s">
        <v>647</v>
      </c>
      <c r="C63" s="354">
        <f>IF(C18=0,C4+C5+C7+C8+C6+C9,0)</f>
        <v>1</v>
      </c>
      <c r="D63" s="348"/>
      <c r="E63" s="344">
        <f t="shared" si="1"/>
        <v>0</v>
      </c>
      <c r="F63" s="345"/>
      <c r="G63" s="316"/>
      <c r="H63" s="316"/>
      <c r="I63" s="316"/>
      <c r="J63" s="316"/>
      <c r="K63" s="316"/>
    </row>
    <row r="64" spans="2:11" ht="12" customHeight="1">
      <c r="B64" s="346" t="s">
        <v>424</v>
      </c>
      <c r="C64" s="354">
        <f>(C7+C8+C9)*4</f>
        <v>4</v>
      </c>
      <c r="D64" s="348"/>
      <c r="E64" s="344">
        <f t="shared" si="1"/>
        <v>0</v>
      </c>
      <c r="F64" s="345"/>
      <c r="G64" s="316"/>
      <c r="H64" s="316"/>
      <c r="I64" s="316"/>
      <c r="J64" s="316"/>
      <c r="K64" s="316"/>
    </row>
    <row r="65" spans="2:11" ht="12" customHeight="1">
      <c r="B65" s="346" t="s">
        <v>648</v>
      </c>
      <c r="C65" s="354">
        <f>C17*(C4+C5+C7+C8+C6+C9)</f>
        <v>0</v>
      </c>
      <c r="D65" s="353"/>
      <c r="E65" s="344">
        <f t="shared" si="1"/>
        <v>0</v>
      </c>
      <c r="F65" s="345"/>
      <c r="G65" s="316"/>
      <c r="H65" s="316"/>
      <c r="I65" s="316"/>
      <c r="J65" s="316"/>
      <c r="K65" s="316"/>
    </row>
    <row r="66" spans="2:11" ht="12" customHeight="1">
      <c r="B66" s="346" t="s">
        <v>425</v>
      </c>
      <c r="C66" s="354">
        <f>IF(C17=1,(C4+C5+C7+C8+C6+C9)*C3*2+0.3,0)</f>
        <v>0</v>
      </c>
      <c r="D66" s="348"/>
      <c r="E66" s="344">
        <f t="shared" si="1"/>
        <v>0</v>
      </c>
      <c r="F66" s="345"/>
      <c r="G66" s="349"/>
      <c r="H66" s="316"/>
      <c r="I66" s="316"/>
      <c r="J66" s="316"/>
      <c r="K66" s="316"/>
    </row>
    <row r="67" spans="2:11" ht="12" customHeight="1">
      <c r="B67" s="346" t="s">
        <v>649</v>
      </c>
      <c r="C67" s="354">
        <f>IF(AND(C19=1,C17=1),(C4+C5+C7+C8+C6+C9)*2,0)</f>
        <v>0</v>
      </c>
      <c r="D67" s="348"/>
      <c r="E67" s="344">
        <f t="shared" si="1"/>
        <v>0</v>
      </c>
      <c r="F67" s="345"/>
      <c r="G67" s="316"/>
      <c r="H67" s="316"/>
      <c r="I67" s="316"/>
      <c r="J67" s="316"/>
      <c r="K67" s="316"/>
    </row>
    <row r="68" spans="2:11" ht="12" customHeight="1">
      <c r="B68" s="346" t="s">
        <v>650</v>
      </c>
      <c r="C68" s="354">
        <f>IF(C17=1,(C5+C7+C8+C4+C6+C9)*2,0)</f>
        <v>0</v>
      </c>
      <c r="D68" s="348"/>
      <c r="E68" s="344">
        <f t="shared" si="1"/>
        <v>0</v>
      </c>
      <c r="F68" s="345"/>
      <c r="G68" s="316"/>
      <c r="H68" s="316"/>
      <c r="I68" s="316"/>
      <c r="J68" s="316"/>
      <c r="K68" s="316"/>
    </row>
    <row r="69" spans="2:11" ht="12" customHeight="1">
      <c r="B69" s="346" t="s">
        <v>428</v>
      </c>
      <c r="C69" s="354">
        <f>C17*2*(C4+C5+C7+C8+C6+C9)</f>
        <v>0</v>
      </c>
      <c r="D69" s="348"/>
      <c r="E69" s="344">
        <f t="shared" si="1"/>
        <v>0</v>
      </c>
      <c r="F69" s="345"/>
      <c r="G69" s="316"/>
      <c r="H69" s="316"/>
      <c r="I69" s="316"/>
      <c r="J69" s="316"/>
      <c r="K69" s="316"/>
    </row>
    <row r="70" spans="2:11" ht="12" customHeight="1">
      <c r="B70" s="346" t="s">
        <v>476</v>
      </c>
      <c r="C70" s="354">
        <f>C17*(C4+C5+C7+C8+C6+C9)</f>
        <v>0</v>
      </c>
      <c r="D70" s="355"/>
      <c r="E70" s="344">
        <f t="shared" si="1"/>
        <v>0</v>
      </c>
      <c r="F70" s="345"/>
      <c r="G70" s="316"/>
      <c r="H70" s="316"/>
      <c r="I70" s="316"/>
      <c r="J70" s="316"/>
      <c r="K70" s="316"/>
    </row>
    <row r="71" spans="2:11" ht="12" customHeight="1">
      <c r="B71" s="346" t="s">
        <v>429</v>
      </c>
      <c r="C71" s="354">
        <f>C17*2*(C4+C5+C7+C8+C6+C9)</f>
        <v>0</v>
      </c>
      <c r="D71" s="355"/>
      <c r="E71" s="344">
        <f t="shared" si="1"/>
        <v>0</v>
      </c>
      <c r="F71" s="345"/>
      <c r="G71" s="316"/>
      <c r="H71" s="316"/>
      <c r="I71" s="316"/>
      <c r="J71" s="316"/>
      <c r="K71" s="316"/>
    </row>
    <row r="72" spans="2:11" ht="12" customHeight="1">
      <c r="B72" s="346" t="s">
        <v>430</v>
      </c>
      <c r="C72" s="354">
        <f>C17*4*(C4+C5+C7+C8+C6+C9)</f>
        <v>0</v>
      </c>
      <c r="D72" s="348"/>
      <c r="E72" s="344">
        <f t="shared" si="1"/>
        <v>0</v>
      </c>
      <c r="F72" s="345"/>
      <c r="G72" s="316"/>
      <c r="H72" s="316"/>
      <c r="I72" s="316"/>
      <c r="J72" s="316"/>
      <c r="K72" s="316"/>
    </row>
    <row r="73" spans="2:11" ht="12" customHeight="1">
      <c r="B73" s="346" t="s">
        <v>431</v>
      </c>
      <c r="C73" s="354">
        <f>C17*4*(C4+C5+C7+C8+C6+C9)</f>
        <v>0</v>
      </c>
      <c r="D73" s="348"/>
      <c r="E73" s="344">
        <f t="shared" si="1"/>
        <v>0</v>
      </c>
      <c r="F73" s="345"/>
      <c r="G73" s="316"/>
      <c r="H73" s="316"/>
      <c r="I73" s="316"/>
      <c r="J73" s="316"/>
      <c r="K73" s="316"/>
    </row>
    <row r="74" spans="2:11" ht="12" customHeight="1">
      <c r="B74" s="356" t="s">
        <v>378</v>
      </c>
      <c r="C74" s="354">
        <f>C10*(C4+C7)</f>
        <v>0</v>
      </c>
      <c r="D74" s="353"/>
      <c r="E74" s="344">
        <f t="shared" si="1"/>
        <v>0</v>
      </c>
      <c r="F74" s="345"/>
      <c r="G74" s="357"/>
      <c r="H74" s="357"/>
      <c r="I74" s="316"/>
      <c r="J74" s="316"/>
      <c r="K74" s="316"/>
    </row>
    <row r="75" spans="2:11" ht="12" customHeight="1">
      <c r="B75" s="356" t="s">
        <v>598</v>
      </c>
      <c r="C75" s="354">
        <f>C13*(C4+C7)</f>
        <v>1</v>
      </c>
      <c r="D75" s="353"/>
      <c r="E75" s="344">
        <f t="shared" si="1"/>
        <v>0</v>
      </c>
      <c r="F75" s="345"/>
      <c r="G75" s="358"/>
      <c r="H75" s="316"/>
      <c r="I75" s="316"/>
      <c r="J75" s="316"/>
      <c r="K75" s="316"/>
    </row>
    <row r="76" spans="2:11" ht="12" customHeight="1">
      <c r="B76" s="356" t="s">
        <v>436</v>
      </c>
      <c r="C76" s="354">
        <f>C11*(C5+C8)</f>
        <v>0</v>
      </c>
      <c r="D76" s="348"/>
      <c r="E76" s="344">
        <f t="shared" si="1"/>
        <v>0</v>
      </c>
      <c r="F76" s="345"/>
      <c r="G76" s="359"/>
      <c r="H76" s="316"/>
      <c r="I76" s="316"/>
      <c r="J76" s="316"/>
      <c r="K76" s="316"/>
    </row>
    <row r="77" spans="2:11" ht="12" customHeight="1">
      <c r="B77" s="356" t="s">
        <v>602</v>
      </c>
      <c r="C77" s="354">
        <f>C12*(C6+C9)</f>
        <v>0</v>
      </c>
      <c r="D77" s="348"/>
      <c r="E77" s="344">
        <f>C77*D77</f>
        <v>0</v>
      </c>
      <c r="F77" s="345"/>
      <c r="G77" s="359"/>
      <c r="H77" s="316"/>
      <c r="I77" s="316"/>
      <c r="J77" s="316"/>
      <c r="K77" s="316"/>
    </row>
    <row r="78" spans="2:11" ht="12" customHeight="1">
      <c r="B78" s="356" t="s">
        <v>603</v>
      </c>
      <c r="C78" s="354">
        <f>C15*(C6+C9)</f>
        <v>0</v>
      </c>
      <c r="D78" s="348"/>
      <c r="E78" s="344">
        <f>C78*D78</f>
        <v>0</v>
      </c>
      <c r="F78" s="345"/>
      <c r="G78" s="359"/>
      <c r="H78" s="316"/>
      <c r="I78" s="316"/>
      <c r="J78" s="316"/>
      <c r="K78" s="316"/>
    </row>
    <row r="79" spans="2:11" ht="12" customHeight="1">
      <c r="B79" s="525" t="s">
        <v>145</v>
      </c>
      <c r="C79" s="506">
        <f>C26</f>
        <v>0</v>
      </c>
      <c r="D79" s="522"/>
      <c r="E79" s="400">
        <f t="shared" ref="E79:E80" si="3">C79*D79</f>
        <v>0</v>
      </c>
      <c r="F79" s="345"/>
      <c r="G79" s="359"/>
      <c r="H79" s="316"/>
      <c r="I79" s="316"/>
      <c r="J79" s="316"/>
      <c r="K79" s="316"/>
    </row>
    <row r="80" spans="2:11" ht="12" customHeight="1">
      <c r="B80" s="451" t="s">
        <v>148</v>
      </c>
      <c r="C80" s="347">
        <f>C25</f>
        <v>0</v>
      </c>
      <c r="D80" s="353"/>
      <c r="E80" s="344">
        <f t="shared" si="3"/>
        <v>0</v>
      </c>
      <c r="F80" s="345"/>
      <c r="G80" s="359"/>
      <c r="H80" s="316"/>
      <c r="I80" s="316"/>
      <c r="J80" s="316"/>
      <c r="K80" s="316"/>
    </row>
    <row r="81" spans="1:11" ht="12" customHeight="1" thickBot="1">
      <c r="B81" s="385" t="s">
        <v>599</v>
      </c>
      <c r="C81" s="386">
        <f>C14*(C5+C8)</f>
        <v>0</v>
      </c>
      <c r="D81" s="387"/>
      <c r="E81" s="388">
        <f t="shared" si="1"/>
        <v>0</v>
      </c>
      <c r="F81" s="345"/>
      <c r="G81" s="359"/>
      <c r="H81" s="316"/>
      <c r="I81" s="316"/>
      <c r="J81" s="316"/>
      <c r="K81" s="316"/>
    </row>
    <row r="82" spans="1:11" ht="12" customHeight="1" thickBot="1">
      <c r="B82" s="316"/>
      <c r="C82" s="316"/>
      <c r="D82" s="384" t="s">
        <v>9</v>
      </c>
      <c r="E82" s="389">
        <f>SUMIF(E29:E81,"&gt;0",E29:E81)</f>
        <v>0</v>
      </c>
      <c r="F82" s="360"/>
      <c r="G82" s="359"/>
      <c r="H82" s="316"/>
      <c r="I82" s="316"/>
      <c r="J82" s="316"/>
      <c r="K82" s="316"/>
    </row>
    <row r="83" spans="1:11" ht="12" customHeight="1">
      <c r="B83" s="316"/>
      <c r="C83" s="316"/>
      <c r="D83" s="316"/>
      <c r="E83" s="316"/>
      <c r="F83" s="316"/>
      <c r="G83" s="359"/>
      <c r="H83" s="316"/>
      <c r="I83" s="316"/>
      <c r="J83" s="316"/>
      <c r="K83" s="316"/>
    </row>
    <row r="84" spans="1:11" ht="12" customHeight="1">
      <c r="B84" s="361"/>
      <c r="C84" s="361"/>
      <c r="D84" s="361"/>
      <c r="E84" s="361"/>
      <c r="F84" s="362"/>
      <c r="G84" s="362"/>
      <c r="H84" s="324"/>
      <c r="I84" s="316"/>
      <c r="J84" s="316"/>
      <c r="K84" s="316"/>
    </row>
    <row r="85" spans="1:11" ht="12" customHeight="1">
      <c r="A85" s="306"/>
      <c r="B85" s="334"/>
      <c r="C85" s="335"/>
      <c r="D85" s="336"/>
      <c r="E85" s="337"/>
      <c r="F85" s="337"/>
      <c r="G85" s="316"/>
      <c r="H85" s="316"/>
      <c r="I85" s="316"/>
      <c r="J85" s="316"/>
      <c r="K85" s="316"/>
    </row>
    <row r="86" spans="1:11" ht="12" customHeight="1">
      <c r="A86" s="306"/>
      <c r="B86" s="249"/>
      <c r="C86" s="313"/>
      <c r="D86" s="311"/>
      <c r="E86" s="307"/>
      <c r="F86" s="307"/>
    </row>
    <row r="87" spans="1:11" ht="12" customHeight="1">
      <c r="A87" s="306"/>
      <c r="B87" s="249"/>
      <c r="C87" s="313"/>
      <c r="D87" s="311"/>
      <c r="E87" s="307"/>
      <c r="F87" s="307"/>
    </row>
    <row r="88" spans="1:11" ht="12" customHeight="1">
      <c r="A88" s="306"/>
      <c r="B88" s="249"/>
      <c r="C88" s="313"/>
      <c r="D88" s="311"/>
      <c r="E88" s="307"/>
      <c r="F88" s="307"/>
    </row>
    <row r="89" spans="1:11" ht="12" customHeight="1">
      <c r="A89" s="306"/>
      <c r="B89" s="249"/>
      <c r="C89" s="313"/>
      <c r="D89" s="311"/>
      <c r="E89" s="307"/>
      <c r="F89" s="307"/>
    </row>
    <row r="90" spans="1:11" ht="12" customHeight="1">
      <c r="A90" s="306"/>
      <c r="B90" s="249"/>
      <c r="C90" s="313"/>
      <c r="D90" s="311"/>
      <c r="E90" s="307"/>
      <c r="F90" s="307"/>
    </row>
    <row r="91" spans="1:11" ht="12" customHeight="1">
      <c r="A91" s="306"/>
      <c r="B91" s="309"/>
      <c r="C91" s="313"/>
      <c r="D91" s="310"/>
      <c r="E91" s="307"/>
      <c r="F91" s="307"/>
    </row>
    <row r="92" spans="1:11" ht="12" customHeight="1">
      <c r="A92" s="306"/>
      <c r="B92" s="309"/>
      <c r="C92" s="313"/>
      <c r="D92" s="310"/>
      <c r="E92" s="307"/>
      <c r="F92" s="307"/>
    </row>
    <row r="93" spans="1:11" ht="12" customHeight="1">
      <c r="A93" s="306"/>
      <c r="B93" s="309"/>
      <c r="C93" s="313"/>
      <c r="D93" s="310"/>
      <c r="E93" s="307"/>
      <c r="F93" s="307"/>
    </row>
    <row r="94" spans="1:11" ht="12" customHeight="1">
      <c r="A94" s="306"/>
      <c r="B94" s="309"/>
      <c r="C94" s="313"/>
      <c r="D94" s="312"/>
      <c r="E94" s="307"/>
      <c r="F94" s="307"/>
    </row>
    <row r="95" spans="1:11" ht="12" customHeight="1">
      <c r="A95" s="306"/>
      <c r="B95" s="309"/>
      <c r="C95" s="313"/>
      <c r="D95" s="312"/>
      <c r="E95" s="307"/>
      <c r="F95" s="307"/>
    </row>
    <row r="96" spans="1:11" ht="12" customHeight="1">
      <c r="A96" s="306"/>
      <c r="B96" s="309"/>
      <c r="C96" s="313"/>
      <c r="D96" s="312"/>
      <c r="E96" s="307"/>
      <c r="F96" s="307"/>
    </row>
    <row r="97" spans="1:6" ht="12" customHeight="1">
      <c r="A97" s="306"/>
      <c r="B97" s="309"/>
      <c r="C97" s="313"/>
      <c r="D97" s="310"/>
      <c r="E97" s="307"/>
      <c r="F97" s="307"/>
    </row>
    <row r="98" spans="1:6" ht="12" customHeight="1">
      <c r="A98" s="306"/>
      <c r="B98" s="309"/>
      <c r="C98" s="313"/>
      <c r="D98" s="310"/>
      <c r="E98" s="307"/>
      <c r="F98" s="307"/>
    </row>
    <row r="99" spans="1:6" ht="12" customHeight="1">
      <c r="A99" s="306"/>
      <c r="B99" s="309"/>
      <c r="C99" s="313"/>
      <c r="D99" s="310"/>
      <c r="E99" s="307"/>
      <c r="F99" s="307"/>
    </row>
    <row r="100" spans="1:6" ht="12" customHeight="1">
      <c r="B100" s="249"/>
      <c r="C100" s="249"/>
      <c r="D100" s="257"/>
      <c r="E100" s="314"/>
      <c r="F100" s="265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603" priority="72" operator="equal">
      <formula>"ДА"</formula>
    </cfRule>
    <cfRule type="cellIs" dxfId="602" priority="73" operator="equal">
      <formula>"НЕТ"</formula>
    </cfRule>
  </conditionalFormatting>
  <conditionalFormatting sqref="C85:C86 C92:C94 C88:C90 C97:C99">
    <cfRule type="cellIs" dxfId="601" priority="69" operator="equal">
      <formula>"ДА"</formula>
    </cfRule>
    <cfRule type="cellIs" dxfId="600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599" priority="66" operator="equal">
      <formula>"ДА"</formula>
    </cfRule>
    <cfRule type="cellIs" dxfId="598" priority="67" operator="equal">
      <formula>"НЕТ"</formula>
    </cfRule>
  </conditionalFormatting>
  <conditionalFormatting sqref="C87">
    <cfRule type="cellIs" dxfId="597" priority="63" operator="equal">
      <formula>"ДА"</formula>
    </cfRule>
    <cfRule type="cellIs" dxfId="596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595" priority="59" operator="equal">
      <formula>"ДА"</formula>
    </cfRule>
    <cfRule type="cellIs" dxfId="594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593" priority="55" operator="equal">
      <formula>"ДА"</formula>
    </cfRule>
    <cfRule type="cellIs" dxfId="592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591" priority="49" operator="equal">
      <formula>"ДА"</formula>
    </cfRule>
    <cfRule type="cellIs" dxfId="590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89" priority="29" operator="equal">
      <formula>"ДА"</formula>
    </cfRule>
    <cfRule type="cellIs" dxfId="588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87" priority="26" operator="equal">
      <formula>"ДА"</formula>
    </cfRule>
    <cfRule type="cellIs" dxfId="586" priority="27" operator="equal">
      <formula>"НЕТ"</formula>
    </cfRule>
  </conditionalFormatting>
  <conditionalFormatting sqref="I5">
    <cfRule type="cellIs" dxfId="585" priority="23" operator="equal">
      <formula>"ДА"</formula>
    </cfRule>
    <cfRule type="cellIs" dxfId="584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83" priority="19" operator="equal">
      <formula>"ДА"</formula>
    </cfRule>
    <cfRule type="cellIs" dxfId="582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581" priority="15" operator="equal">
      <formula>"ДА"</formula>
    </cfRule>
    <cfRule type="cellIs" dxfId="580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579" priority="11" operator="equal">
      <formula>"ДА"</formula>
    </cfRule>
    <cfRule type="cellIs" dxfId="578" priority="12" operator="equal">
      <formula>"НЕТ"</formula>
    </cfRule>
  </conditionalFormatting>
  <conditionalFormatting sqref="I19">
    <cfRule type="cellIs" dxfId="577" priority="9" operator="equal">
      <formula>"ДА"</formula>
    </cfRule>
    <cfRule type="cellIs" dxfId="576" priority="10" operator="equal">
      <formula>"НЕТ"</formula>
    </cfRule>
  </conditionalFormatting>
  <conditionalFormatting sqref="K3:K19 C29:E78">
    <cfRule type="cellIs" dxfId="575" priority="8" operator="greaterThan">
      <formula>0</formula>
    </cfRule>
  </conditionalFormatting>
  <conditionalFormatting sqref="J3:J19">
    <cfRule type="cellIs" dxfId="574" priority="4" operator="greaterThan">
      <formula>0</formula>
    </cfRule>
    <cfRule type="cellIs" dxfId="573" priority="7" operator="greaterThan">
      <formula>0</formula>
    </cfRule>
  </conditionalFormatting>
  <conditionalFormatting sqref="C81:E81">
    <cfRule type="cellIs" dxfId="572" priority="6" operator="greaterThan">
      <formula>0</formula>
    </cfRule>
  </conditionalFormatting>
  <conditionalFormatting sqref="E82">
    <cfRule type="cellIs" dxfId="571" priority="5" operator="greaterThan">
      <formula>0</formula>
    </cfRule>
  </conditionalFormatting>
  <conditionalFormatting sqref="C2:C24">
    <cfRule type="cellIs" dxfId="570" priority="3" operator="greaterThan">
      <formula>0</formula>
    </cfRule>
  </conditionalFormatting>
  <conditionalFormatting sqref="C25:C26">
    <cfRule type="cellIs" dxfId="569" priority="2" operator="greaterThan">
      <formula>0</formula>
    </cfRule>
  </conditionalFormatting>
  <conditionalFormatting sqref="C79:E80">
    <cfRule type="cellIs" dxfId="56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39"/>
      <c r="B1" s="1269"/>
      <c r="C1" s="1270"/>
      <c r="D1" s="1270"/>
      <c r="E1" s="1270"/>
      <c r="F1" s="439"/>
      <c r="G1" s="405"/>
      <c r="H1" s="405"/>
      <c r="I1" s="405"/>
      <c r="J1" s="405"/>
      <c r="K1" s="405"/>
      <c r="L1" s="405"/>
    </row>
    <row r="2" spans="1:13" ht="11.25" customHeight="1" thickBot="1">
      <c r="A2" s="439"/>
      <c r="B2" s="407" t="s">
        <v>10</v>
      </c>
      <c r="C2" s="458">
        <v>0</v>
      </c>
      <c r="D2" s="1231" t="s">
        <v>595</v>
      </c>
      <c r="E2" s="1232"/>
      <c r="F2" s="1233"/>
      <c r="G2" s="405"/>
      <c r="H2" s="409" t="s">
        <v>485</v>
      </c>
      <c r="I2" s="622" t="s">
        <v>604</v>
      </c>
      <c r="J2" s="410" t="s">
        <v>4</v>
      </c>
      <c r="K2" s="411" t="s">
        <v>8</v>
      </c>
      <c r="L2" s="405"/>
    </row>
    <row r="3" spans="1:13" ht="13.5" thickBot="1">
      <c r="A3" s="439"/>
      <c r="B3" s="412" t="s">
        <v>1</v>
      </c>
      <c r="C3" s="459">
        <v>0</v>
      </c>
      <c r="D3" s="1234"/>
      <c r="E3" s="1235"/>
      <c r="F3" s="1236"/>
      <c r="G3" s="405"/>
      <c r="H3" s="413" t="s">
        <v>489</v>
      </c>
      <c r="I3" s="623" t="str">
        <f>IF(AND($C$6+$C$7=1,$C$8+$C$9=0,$C$10=1),"ДА","НЕТ")</f>
        <v>НЕТ</v>
      </c>
      <c r="J3" s="318"/>
      <c r="K3" s="319">
        <f>IF(I3="ДА",($C$4+$C$5)*J3,0)</f>
        <v>0</v>
      </c>
      <c r="L3" s="405"/>
    </row>
    <row r="4" spans="1:13" ht="12.75" customHeight="1">
      <c r="A4" s="439"/>
      <c r="B4" s="419" t="s">
        <v>413</v>
      </c>
      <c r="C4" s="549">
        <v>0</v>
      </c>
      <c r="D4" s="1231" t="s">
        <v>597</v>
      </c>
      <c r="E4" s="1232"/>
      <c r="F4" s="1233"/>
      <c r="G4" s="486"/>
      <c r="H4" s="418" t="s">
        <v>486</v>
      </c>
      <c r="I4" s="624" t="str">
        <f>IF(AND($C$6+$C$7=1,$C$8+$C$9=0,$C$10=3),"ДА","НЕТ")</f>
        <v>НЕТ</v>
      </c>
      <c r="J4" s="322"/>
      <c r="K4" s="319">
        <f t="shared" ref="K4:K15" si="0">IF(I4="ДА",($C$4+$C$5)*J4,0)</f>
        <v>0</v>
      </c>
      <c r="L4" s="486"/>
    </row>
    <row r="5" spans="1:13" ht="13.5" thickBot="1">
      <c r="A5" s="439"/>
      <c r="B5" s="440" t="s">
        <v>414</v>
      </c>
      <c r="C5" s="550">
        <v>0</v>
      </c>
      <c r="D5" s="1234"/>
      <c r="E5" s="1235"/>
      <c r="F5" s="1236"/>
      <c r="G5" s="523"/>
      <c r="H5" s="418" t="s">
        <v>591</v>
      </c>
      <c r="I5" s="624" t="str">
        <f>IF(AND($C$6+$C$7=1,$C$8+$C$9=0,$C$10=3),"ДА","НЕТ")</f>
        <v>НЕТ</v>
      </c>
      <c r="J5" s="322"/>
      <c r="K5" s="319">
        <f t="shared" si="0"/>
        <v>0</v>
      </c>
      <c r="L5" s="523"/>
      <c r="M5" s="249"/>
    </row>
    <row r="6" spans="1:13" ht="12.75" customHeight="1">
      <c r="A6" s="439"/>
      <c r="B6" s="407" t="s">
        <v>498</v>
      </c>
      <c r="C6" s="464">
        <v>0</v>
      </c>
      <c r="D6" s="420" t="s">
        <v>287</v>
      </c>
      <c r="E6" s="625" t="s">
        <v>255</v>
      </c>
      <c r="F6" s="1239" t="s">
        <v>597</v>
      </c>
      <c r="G6" s="523"/>
      <c r="H6" s="418" t="s">
        <v>487</v>
      </c>
      <c r="I6" s="624" t="str">
        <f>IF(AND($C$6+$C$7=1,$C$8+$C$9=0,$C$10=2),"ДА","НЕТ")</f>
        <v>НЕТ</v>
      </c>
      <c r="J6" s="322"/>
      <c r="K6" s="319">
        <f t="shared" si="0"/>
        <v>0</v>
      </c>
      <c r="L6" s="523"/>
      <c r="M6" s="249"/>
    </row>
    <row r="7" spans="1:13" ht="12.75">
      <c r="A7" s="439"/>
      <c r="B7" s="417" t="s">
        <v>499</v>
      </c>
      <c r="C7" s="461">
        <v>0</v>
      </c>
      <c r="D7" s="424" t="s">
        <v>287</v>
      </c>
      <c r="E7" s="424" t="s">
        <v>255</v>
      </c>
      <c r="F7" s="1240"/>
      <c r="G7" s="523"/>
      <c r="H7" s="418" t="s">
        <v>488</v>
      </c>
      <c r="I7" s="624" t="str">
        <f>IF(AND($C$6+$C$7=1,$C$8+$C$9=0,$C$10=2),"ДА","НЕТ")</f>
        <v>НЕТ</v>
      </c>
      <c r="J7" s="322"/>
      <c r="K7" s="319">
        <f t="shared" si="0"/>
        <v>0</v>
      </c>
      <c r="L7" s="523"/>
      <c r="M7" s="249"/>
    </row>
    <row r="8" spans="1:13" ht="12.75">
      <c r="A8" s="439"/>
      <c r="B8" s="417" t="s">
        <v>500</v>
      </c>
      <c r="C8" s="461">
        <v>0</v>
      </c>
      <c r="D8" s="424" t="s">
        <v>287</v>
      </c>
      <c r="E8" s="424" t="s">
        <v>255</v>
      </c>
      <c r="F8" s="1240"/>
      <c r="G8" s="523"/>
      <c r="H8" s="418" t="s">
        <v>494</v>
      </c>
      <c r="I8" s="624" t="str">
        <f>IF(AND($C$6+$C$7=1,$C$8+$C$9=0,$C$10=2),"ДА","НЕТ")</f>
        <v>НЕТ</v>
      </c>
      <c r="J8" s="322"/>
      <c r="K8" s="319">
        <f t="shared" si="0"/>
        <v>0</v>
      </c>
      <c r="L8" s="523"/>
      <c r="M8" s="249"/>
    </row>
    <row r="9" spans="1:13" ht="13.5" thickBot="1">
      <c r="A9" s="439"/>
      <c r="B9" s="490" t="s">
        <v>501</v>
      </c>
      <c r="C9" s="472">
        <v>0</v>
      </c>
      <c r="D9" s="626" t="s">
        <v>287</v>
      </c>
      <c r="E9" s="517" t="s">
        <v>255</v>
      </c>
      <c r="F9" s="1241"/>
      <c r="G9" s="523"/>
      <c r="H9" s="413" t="s">
        <v>590</v>
      </c>
      <c r="I9" s="624" t="str">
        <f>IF(AND($C$6+$C$7=1,$C$8+$C$9=0,$C$10=1),"ДА","НЕТ")</f>
        <v>НЕТ</v>
      </c>
      <c r="J9" s="318"/>
      <c r="K9" s="319">
        <f t="shared" si="0"/>
        <v>0</v>
      </c>
      <c r="L9" s="523"/>
      <c r="M9" s="249"/>
    </row>
    <row r="10" spans="1:13" ht="13.5" thickBot="1">
      <c r="A10" s="439"/>
      <c r="B10" s="429" t="s">
        <v>589</v>
      </c>
      <c r="C10" s="548"/>
      <c r="D10" s="433" t="s">
        <v>619</v>
      </c>
      <c r="E10" s="433" t="s">
        <v>620</v>
      </c>
      <c r="F10" s="627" t="s">
        <v>621</v>
      </c>
      <c r="G10" s="523"/>
      <c r="H10" s="413" t="s">
        <v>383</v>
      </c>
      <c r="I10" s="624" t="str">
        <f>IF(AND($C$6+$C$7=0,$C$8+$C$9=1,$C$10=1),"ДА","НЕТ")</f>
        <v>НЕТ</v>
      </c>
      <c r="J10" s="325"/>
      <c r="K10" s="319">
        <f t="shared" si="0"/>
        <v>0</v>
      </c>
      <c r="L10" s="523"/>
      <c r="M10" s="249"/>
    </row>
    <row r="11" spans="1:13" ht="12.75">
      <c r="A11" s="439"/>
      <c r="B11" s="419" t="s">
        <v>393</v>
      </c>
      <c r="C11" s="462">
        <v>0</v>
      </c>
      <c r="D11" s="628" t="s">
        <v>394</v>
      </c>
      <c r="E11" s="422" t="s">
        <v>395</v>
      </c>
      <c r="F11" s="1271"/>
      <c r="G11" s="405"/>
      <c r="H11" s="416" t="s">
        <v>384</v>
      </c>
      <c r="I11" s="624" t="str">
        <f>IF(AND($C$6+$C$7=0,$C$8+$C$9=1,$C$10=1),"ДА","НЕТ")</f>
        <v>НЕТ</v>
      </c>
      <c r="J11" s="325"/>
      <c r="K11" s="319">
        <f t="shared" si="0"/>
        <v>0</v>
      </c>
      <c r="L11" s="405"/>
    </row>
    <row r="12" spans="1:13" ht="13.5" thickBot="1">
      <c r="A12" s="439"/>
      <c r="B12" s="490" t="s">
        <v>358</v>
      </c>
      <c r="C12" s="472">
        <v>0</v>
      </c>
      <c r="D12" s="491" t="s">
        <v>417</v>
      </c>
      <c r="E12" s="491" t="s">
        <v>418</v>
      </c>
      <c r="F12" s="1272"/>
      <c r="G12" s="405"/>
      <c r="H12" s="416" t="s">
        <v>385</v>
      </c>
      <c r="I12" s="624" t="str">
        <f>IF(AND($C$6+$C$7=0,$C$8+$C$9=1,$C$10=1),"ДА","НЕТ")</f>
        <v>НЕТ</v>
      </c>
      <c r="J12" s="328"/>
      <c r="K12" s="319">
        <f t="shared" si="0"/>
        <v>0</v>
      </c>
      <c r="L12" s="405"/>
    </row>
    <row r="13" spans="1:13" ht="12.75" customHeight="1">
      <c r="A13" s="439"/>
      <c r="B13" s="407" t="s">
        <v>397</v>
      </c>
      <c r="C13" s="464">
        <v>0</v>
      </c>
      <c r="D13" s="420" t="s">
        <v>287</v>
      </c>
      <c r="E13" s="420" t="s">
        <v>255</v>
      </c>
      <c r="F13" s="1252" t="s">
        <v>597</v>
      </c>
      <c r="G13" s="405"/>
      <c r="H13" s="413" t="s">
        <v>388</v>
      </c>
      <c r="I13" s="624" t="str">
        <f>IF(AND($C$6+$C$7=0,$C$8+$C$9=1,$C$10=2),"ДА","НЕТ")</f>
        <v>НЕТ</v>
      </c>
      <c r="J13" s="325"/>
      <c r="K13" s="319">
        <f t="shared" si="0"/>
        <v>0</v>
      </c>
      <c r="L13" s="405"/>
    </row>
    <row r="14" spans="1:13" ht="13.5" thickBot="1">
      <c r="A14" s="439"/>
      <c r="B14" s="412" t="s">
        <v>398</v>
      </c>
      <c r="C14" s="463">
        <v>0</v>
      </c>
      <c r="D14" s="487" t="s">
        <v>287</v>
      </c>
      <c r="E14" s="487" t="s">
        <v>255</v>
      </c>
      <c r="F14" s="1253"/>
      <c r="G14" s="630"/>
      <c r="H14" s="416" t="s">
        <v>389</v>
      </c>
      <c r="I14" s="624" t="str">
        <f>IF(AND($C$6+$C$7=0,$C$8+$C$9=1,$C$10=2),"ДА","НЕТ")</f>
        <v>НЕТ</v>
      </c>
      <c r="J14" s="325"/>
      <c r="K14" s="319">
        <f t="shared" si="0"/>
        <v>0</v>
      </c>
      <c r="L14" s="630"/>
    </row>
    <row r="15" spans="1:13" ht="12.75">
      <c r="A15" s="439"/>
      <c r="B15" s="729" t="s">
        <v>147</v>
      </c>
      <c r="C15" s="464">
        <v>0</v>
      </c>
      <c r="D15" s="1243" t="s">
        <v>686</v>
      </c>
      <c r="E15" s="1243"/>
      <c r="F15" s="1244"/>
      <c r="G15" s="405"/>
      <c r="H15" s="416" t="s">
        <v>390</v>
      </c>
      <c r="I15" s="624" t="str">
        <f>IF(AND($C$6+$C$7=0,$C$8+$C$9=1,$C$10=2),"ДА","НЕТ")</f>
        <v>НЕТ</v>
      </c>
      <c r="J15" s="325"/>
      <c r="K15" s="319">
        <f t="shared" si="0"/>
        <v>0</v>
      </c>
      <c r="L15" s="405"/>
    </row>
    <row r="16" spans="1:13" ht="13.5" thickBot="1">
      <c r="A16" s="439"/>
      <c r="B16" s="730" t="s">
        <v>146</v>
      </c>
      <c r="C16" s="463">
        <v>0</v>
      </c>
      <c r="D16" s="1249" t="s">
        <v>687</v>
      </c>
      <c r="E16" s="1249"/>
      <c r="F16" s="1250"/>
      <c r="G16" s="405"/>
      <c r="H16" s="564"/>
      <c r="I16" s="728"/>
      <c r="J16" s="336"/>
      <c r="K16" s="337"/>
      <c r="L16" s="405"/>
    </row>
    <row r="17" spans="1:12" ht="13.5" thickBot="1">
      <c r="A17" s="439"/>
      <c r="B17" s="723"/>
      <c r="C17" s="723"/>
      <c r="D17" s="723"/>
      <c r="E17" s="723"/>
      <c r="F17" s="439"/>
      <c r="G17" s="405"/>
      <c r="H17" s="564"/>
      <c r="I17" s="728"/>
      <c r="J17" s="336"/>
      <c r="K17" s="337"/>
      <c r="L17" s="405"/>
    </row>
    <row r="18" spans="1:12" ht="12.75">
      <c r="A18" s="439"/>
      <c r="B18" s="444" t="s">
        <v>5</v>
      </c>
      <c r="C18" s="445" t="s">
        <v>0</v>
      </c>
      <c r="D18" s="631" t="s">
        <v>4</v>
      </c>
      <c r="E18" s="447" t="s">
        <v>8</v>
      </c>
      <c r="F18" s="439"/>
      <c r="G18" s="405"/>
      <c r="H18" s="405"/>
      <c r="I18" s="405"/>
      <c r="J18" s="405"/>
      <c r="K18" s="405"/>
      <c r="L18" s="405"/>
    </row>
    <row r="19" spans="1:12">
      <c r="A19" s="439"/>
      <c r="B19" s="451" t="s">
        <v>641</v>
      </c>
      <c r="C19" s="347">
        <f>EVEN(ROUNDDOWN(IF(C4+C5&gt;0.9,(C4+C5)*C2/0.5,0),0))</f>
        <v>0</v>
      </c>
      <c r="D19" s="348">
        <v>1</v>
      </c>
      <c r="E19" s="344">
        <f>C19*D19</f>
        <v>0</v>
      </c>
      <c r="F19" s="441"/>
      <c r="G19" s="489"/>
      <c r="H19" s="405"/>
      <c r="I19" s="405"/>
      <c r="J19" s="405"/>
      <c r="K19" s="405"/>
      <c r="L19" s="405"/>
    </row>
    <row r="20" spans="1:12">
      <c r="A20" s="439"/>
      <c r="B20" s="451" t="s">
        <v>420</v>
      </c>
      <c r="C20" s="347">
        <f>IF(AND(C6+C7&gt;0,C8+C9=0,C12=0),(C4+C5)*2,0)</f>
        <v>0</v>
      </c>
      <c r="D20" s="348"/>
      <c r="E20" s="344">
        <f t="shared" ref="E20:E25" si="1">C20*D20</f>
        <v>0</v>
      </c>
      <c r="F20" s="450"/>
      <c r="G20" s="632"/>
      <c r="H20" s="405"/>
      <c r="I20" s="405"/>
      <c r="J20" s="405"/>
      <c r="K20" s="405"/>
      <c r="L20" s="405"/>
    </row>
    <row r="21" spans="1:12">
      <c r="A21" s="439"/>
      <c r="B21" s="451" t="s">
        <v>421</v>
      </c>
      <c r="C21" s="350">
        <f>IF(AND(C6+C7&gt;0,C8+C9=0,C12=1),(C4+C5)*2,0)</f>
        <v>0</v>
      </c>
      <c r="D21" s="351"/>
      <c r="E21" s="344">
        <f t="shared" si="1"/>
        <v>0</v>
      </c>
      <c r="F21" s="633"/>
      <c r="G21" s="632"/>
      <c r="H21" s="405"/>
      <c r="I21" s="405"/>
      <c r="J21" s="405"/>
      <c r="K21" s="405"/>
      <c r="L21" s="405"/>
    </row>
    <row r="22" spans="1:12">
      <c r="A22" s="439"/>
      <c r="B22" s="451" t="s">
        <v>420</v>
      </c>
      <c r="C22" s="347">
        <f>IF(AND(C6+C7=0,C8+C9&gt;0,C12=0),(C4+C5),0)</f>
        <v>0</v>
      </c>
      <c r="D22" s="348"/>
      <c r="E22" s="344">
        <f t="shared" si="1"/>
        <v>0</v>
      </c>
      <c r="F22" s="439"/>
      <c r="G22" s="405"/>
      <c r="H22" s="405"/>
      <c r="I22" s="405"/>
      <c r="J22" s="405"/>
      <c r="K22" s="405"/>
      <c r="L22" s="405"/>
    </row>
    <row r="23" spans="1:12">
      <c r="A23" s="439"/>
      <c r="B23" s="451" t="s">
        <v>421</v>
      </c>
      <c r="C23" s="350">
        <f>IF(AND(C6+C7=0,C8+C9&gt;0,C12=1),(C4+C5),0)</f>
        <v>0</v>
      </c>
      <c r="D23" s="351"/>
      <c r="E23" s="344">
        <f t="shared" si="1"/>
        <v>0</v>
      </c>
      <c r="F23" s="439"/>
      <c r="G23" s="405"/>
      <c r="H23" s="405"/>
      <c r="I23" s="405"/>
      <c r="J23" s="405"/>
      <c r="K23" s="405"/>
      <c r="L23" s="405"/>
    </row>
    <row r="24" spans="1:12">
      <c r="A24" s="439"/>
      <c r="B24" s="451" t="s">
        <v>511</v>
      </c>
      <c r="C24" s="347">
        <f>IF(AND(C6+C7=0,C8+C9&gt;0,C12=0),(C4+C5),0)</f>
        <v>0</v>
      </c>
      <c r="D24" s="348"/>
      <c r="E24" s="344">
        <f t="shared" si="1"/>
        <v>0</v>
      </c>
      <c r="F24" s="439"/>
      <c r="G24" s="405"/>
      <c r="H24" s="405"/>
      <c r="I24" s="405"/>
      <c r="J24" s="405"/>
      <c r="K24" s="405"/>
      <c r="L24" s="405"/>
    </row>
    <row r="25" spans="1:12">
      <c r="A25" s="439"/>
      <c r="B25" s="451" t="s">
        <v>512</v>
      </c>
      <c r="C25" s="350">
        <f>IF(AND(C6+C7=0,C8+C9&gt;0,C12=1),(C4+C5),0)</f>
        <v>0</v>
      </c>
      <c r="D25" s="351"/>
      <c r="E25" s="344">
        <f t="shared" si="1"/>
        <v>0</v>
      </c>
      <c r="F25" s="443"/>
      <c r="G25" s="405"/>
      <c r="H25" s="405"/>
      <c r="I25" s="405"/>
      <c r="J25" s="405"/>
      <c r="K25" s="405"/>
      <c r="L25" s="405"/>
    </row>
    <row r="26" spans="1:12">
      <c r="A26" s="439"/>
      <c r="B26" s="451" t="s">
        <v>643</v>
      </c>
      <c r="C26" s="350">
        <f>(C4+C5)*2</f>
        <v>0</v>
      </c>
      <c r="D26" s="351"/>
      <c r="E26" s="344">
        <f t="shared" ref="E26:E46" si="2">C26*D26</f>
        <v>0</v>
      </c>
      <c r="F26" s="439"/>
      <c r="G26" s="405"/>
      <c r="H26" s="405"/>
      <c r="I26" s="405"/>
      <c r="J26" s="405"/>
      <c r="K26" s="405"/>
      <c r="L26" s="405"/>
    </row>
    <row r="27" spans="1:12">
      <c r="A27" s="439"/>
      <c r="B27" s="451" t="s">
        <v>432</v>
      </c>
      <c r="C27" s="342">
        <f>C4</f>
        <v>0</v>
      </c>
      <c r="D27" s="343"/>
      <c r="E27" s="344">
        <f t="shared" si="2"/>
        <v>0</v>
      </c>
      <c r="F27" s="439"/>
      <c r="G27" s="405"/>
      <c r="H27" s="405"/>
      <c r="I27" s="405"/>
      <c r="J27" s="405"/>
      <c r="K27" s="405"/>
      <c r="L27" s="405"/>
    </row>
    <row r="28" spans="1:12">
      <c r="A28" s="439"/>
      <c r="B28" s="451" t="s">
        <v>433</v>
      </c>
      <c r="C28" s="347">
        <f>C4*2</f>
        <v>0</v>
      </c>
      <c r="D28" s="348"/>
      <c r="E28" s="344">
        <f t="shared" si="2"/>
        <v>0</v>
      </c>
      <c r="F28" s="439"/>
      <c r="G28" s="405"/>
      <c r="H28" s="405"/>
      <c r="I28" s="405"/>
      <c r="J28" s="405"/>
      <c r="K28" s="405"/>
      <c r="L28" s="405"/>
    </row>
    <row r="29" spans="1:12">
      <c r="A29" s="439"/>
      <c r="B29" s="451" t="s">
        <v>434</v>
      </c>
      <c r="C29" s="347">
        <f>C5</f>
        <v>0</v>
      </c>
      <c r="D29" s="348"/>
      <c r="E29" s="344">
        <f t="shared" si="2"/>
        <v>0</v>
      </c>
      <c r="F29" s="439"/>
      <c r="G29" s="405"/>
      <c r="H29" s="405"/>
      <c r="I29" s="405"/>
      <c r="J29" s="405"/>
      <c r="K29" s="405"/>
      <c r="L29" s="405"/>
    </row>
    <row r="30" spans="1:12">
      <c r="A30" s="439"/>
      <c r="B30" s="451" t="s">
        <v>651</v>
      </c>
      <c r="C30" s="347">
        <f>(C4+C5)*2</f>
        <v>0</v>
      </c>
      <c r="D30" s="348"/>
      <c r="E30" s="344">
        <f t="shared" si="2"/>
        <v>0</v>
      </c>
      <c r="F30" s="439"/>
      <c r="G30" s="405"/>
      <c r="H30" s="405"/>
      <c r="I30" s="405"/>
      <c r="J30" s="405"/>
      <c r="K30" s="405"/>
      <c r="L30" s="405"/>
    </row>
    <row r="31" spans="1:12">
      <c r="A31" s="439"/>
      <c r="B31" s="449" t="s">
        <v>474</v>
      </c>
      <c r="C31" s="347">
        <f>(C4+C5)*C2*2</f>
        <v>0</v>
      </c>
      <c r="D31" s="348"/>
      <c r="E31" s="344">
        <f t="shared" si="2"/>
        <v>0</v>
      </c>
      <c r="F31" s="439"/>
      <c r="G31" s="405"/>
      <c r="H31" s="405"/>
      <c r="I31" s="405"/>
      <c r="J31" s="405"/>
      <c r="K31" s="405"/>
      <c r="L31" s="405"/>
    </row>
    <row r="32" spans="1:12">
      <c r="A32" s="439"/>
      <c r="B32" s="451" t="s">
        <v>401</v>
      </c>
      <c r="C32" s="347">
        <f>(C4+C5)*C2</f>
        <v>0</v>
      </c>
      <c r="D32" s="353"/>
      <c r="E32" s="344">
        <f t="shared" si="2"/>
        <v>0</v>
      </c>
      <c r="F32" s="439"/>
      <c r="G32" s="405"/>
      <c r="H32" s="405"/>
      <c r="I32" s="405"/>
      <c r="J32" s="405"/>
      <c r="K32" s="405"/>
      <c r="L32" s="405"/>
    </row>
    <row r="33" spans="1:12">
      <c r="A33" s="439"/>
      <c r="B33" s="451" t="s">
        <v>402</v>
      </c>
      <c r="C33" s="347">
        <f>C14*(C4+C5)*C2</f>
        <v>0</v>
      </c>
      <c r="D33" s="353"/>
      <c r="E33" s="344">
        <f t="shared" si="2"/>
        <v>0</v>
      </c>
      <c r="F33" s="439"/>
      <c r="G33" s="405"/>
      <c r="H33" s="405"/>
      <c r="I33" s="405"/>
      <c r="J33" s="405"/>
      <c r="K33" s="405"/>
      <c r="L33" s="405"/>
    </row>
    <row r="34" spans="1:12">
      <c r="A34" s="439"/>
      <c r="B34" s="449" t="s">
        <v>399</v>
      </c>
      <c r="C34" s="342">
        <f>IF(C14=0,C13*2*(C4+C5),0)</f>
        <v>0</v>
      </c>
      <c r="D34" s="353"/>
      <c r="E34" s="344">
        <f t="shared" si="2"/>
        <v>0</v>
      </c>
      <c r="F34" s="439"/>
      <c r="G34" s="405"/>
      <c r="H34" s="405"/>
      <c r="I34" s="405"/>
      <c r="J34" s="405"/>
      <c r="K34" s="405"/>
      <c r="L34" s="405"/>
    </row>
    <row r="35" spans="1:12">
      <c r="A35" s="439"/>
      <c r="B35" s="449" t="s">
        <v>400</v>
      </c>
      <c r="C35" s="342">
        <f>IF(C13=0,C14*(C4+C5),0)</f>
        <v>0</v>
      </c>
      <c r="D35" s="353"/>
      <c r="E35" s="344">
        <f t="shared" si="2"/>
        <v>0</v>
      </c>
      <c r="F35" s="439"/>
      <c r="G35" s="405"/>
      <c r="H35" s="405"/>
      <c r="I35" s="405"/>
      <c r="J35" s="405"/>
      <c r="K35" s="405"/>
      <c r="L35" s="405"/>
    </row>
    <row r="36" spans="1:12">
      <c r="A36" s="439"/>
      <c r="B36" s="449" t="s">
        <v>461</v>
      </c>
      <c r="C36" s="354">
        <f>C4*C2</f>
        <v>0</v>
      </c>
      <c r="D36" s="348"/>
      <c r="E36" s="344">
        <f t="shared" si="2"/>
        <v>0</v>
      </c>
      <c r="F36" s="439"/>
      <c r="G36" s="405"/>
      <c r="H36" s="405"/>
      <c r="I36" s="405"/>
      <c r="J36" s="405"/>
      <c r="K36" s="405"/>
      <c r="L36" s="405"/>
    </row>
    <row r="37" spans="1:12">
      <c r="A37" s="439"/>
      <c r="B37" s="449" t="s">
        <v>462</v>
      </c>
      <c r="C37" s="354">
        <f>C5*C2</f>
        <v>0</v>
      </c>
      <c r="D37" s="348"/>
      <c r="E37" s="344">
        <f t="shared" si="2"/>
        <v>0</v>
      </c>
      <c r="F37" s="453"/>
      <c r="G37" s="405"/>
      <c r="H37" s="405"/>
      <c r="I37" s="405"/>
      <c r="J37" s="405"/>
      <c r="K37" s="405"/>
      <c r="L37" s="405"/>
    </row>
    <row r="38" spans="1:12" ht="11.25" customHeight="1">
      <c r="A38" s="439"/>
      <c r="B38" s="449" t="s">
        <v>422</v>
      </c>
      <c r="C38" s="354">
        <f>(C4+C5)*C2</f>
        <v>0</v>
      </c>
      <c r="D38" s="348"/>
      <c r="E38" s="344">
        <f t="shared" si="2"/>
        <v>0</v>
      </c>
      <c r="F38" s="439"/>
      <c r="G38" s="405"/>
      <c r="H38" s="405"/>
      <c r="I38" s="405"/>
      <c r="J38" s="405"/>
      <c r="K38" s="405"/>
      <c r="L38" s="405"/>
    </row>
    <row r="39" spans="1:12">
      <c r="A39" s="439"/>
      <c r="B39" s="451" t="s">
        <v>647</v>
      </c>
      <c r="C39" s="354">
        <f>C4+C5</f>
        <v>0</v>
      </c>
      <c r="D39" s="348"/>
      <c r="E39" s="344">
        <f t="shared" si="2"/>
        <v>0</v>
      </c>
      <c r="F39" s="439"/>
      <c r="G39" s="405"/>
      <c r="H39" s="405"/>
      <c r="I39" s="405"/>
      <c r="J39" s="405"/>
      <c r="K39" s="405"/>
      <c r="L39" s="405"/>
    </row>
    <row r="40" spans="1:12">
      <c r="A40" s="439"/>
      <c r="B40" s="451" t="s">
        <v>424</v>
      </c>
      <c r="C40" s="354">
        <f>(C4+C5)*4</f>
        <v>0</v>
      </c>
      <c r="D40" s="348"/>
      <c r="E40" s="344">
        <f t="shared" si="2"/>
        <v>0</v>
      </c>
      <c r="F40" s="439"/>
      <c r="G40" s="405"/>
      <c r="H40" s="405"/>
      <c r="I40" s="405"/>
      <c r="J40" s="405"/>
      <c r="K40" s="405"/>
      <c r="L40" s="405"/>
    </row>
    <row r="41" spans="1:12">
      <c r="A41" s="439"/>
      <c r="B41" s="452" t="s">
        <v>378</v>
      </c>
      <c r="C41" s="354">
        <f>C6*C4</f>
        <v>0</v>
      </c>
      <c r="D41" s="353"/>
      <c r="E41" s="344">
        <f t="shared" si="2"/>
        <v>0</v>
      </c>
      <c r="F41" s="439"/>
      <c r="G41" s="405"/>
      <c r="H41" s="405"/>
      <c r="I41" s="405"/>
      <c r="J41" s="405"/>
      <c r="K41" s="405"/>
      <c r="L41" s="405"/>
    </row>
    <row r="42" spans="1:12">
      <c r="A42" s="439"/>
      <c r="B42" s="452" t="s">
        <v>598</v>
      </c>
      <c r="C42" s="354">
        <f>C8*C6</f>
        <v>0</v>
      </c>
      <c r="D42" s="353"/>
      <c r="E42" s="344">
        <f t="shared" si="2"/>
        <v>0</v>
      </c>
      <c r="F42" s="439"/>
      <c r="G42" s="405"/>
      <c r="H42" s="405"/>
      <c r="I42" s="405"/>
      <c r="J42" s="405"/>
      <c r="K42" s="405"/>
      <c r="L42" s="405"/>
    </row>
    <row r="43" spans="1:12" ht="11.25" customHeight="1">
      <c r="A43" s="439"/>
      <c r="B43" s="452" t="s">
        <v>436</v>
      </c>
      <c r="C43" s="354">
        <f>C7*C5</f>
        <v>0</v>
      </c>
      <c r="D43" s="348"/>
      <c r="E43" s="344">
        <f t="shared" si="2"/>
        <v>0</v>
      </c>
      <c r="F43" s="439"/>
      <c r="G43" s="405"/>
      <c r="H43" s="405"/>
      <c r="I43" s="405"/>
      <c r="J43" s="405"/>
      <c r="K43" s="405"/>
      <c r="L43" s="405"/>
    </row>
    <row r="44" spans="1:12" ht="11.25" customHeight="1">
      <c r="A44" s="439"/>
      <c r="B44" s="525" t="s">
        <v>145</v>
      </c>
      <c r="C44" s="506">
        <f>C16</f>
        <v>0</v>
      </c>
      <c r="D44" s="522"/>
      <c r="E44" s="400">
        <f t="shared" si="2"/>
        <v>0</v>
      </c>
      <c r="F44" s="439"/>
      <c r="G44" s="405"/>
      <c r="H44" s="405"/>
      <c r="I44" s="405"/>
      <c r="J44" s="405"/>
      <c r="K44" s="405"/>
      <c r="L44" s="405"/>
    </row>
    <row r="45" spans="1:12" ht="11.25" customHeight="1">
      <c r="A45" s="439"/>
      <c r="B45" s="451" t="s">
        <v>148</v>
      </c>
      <c r="C45" s="347">
        <f>C15</f>
        <v>0</v>
      </c>
      <c r="D45" s="353"/>
      <c r="E45" s="344">
        <f t="shared" si="2"/>
        <v>0</v>
      </c>
      <c r="F45" s="439"/>
      <c r="G45" s="405"/>
      <c r="H45" s="405"/>
      <c r="I45" s="405"/>
      <c r="J45" s="405"/>
      <c r="K45" s="405"/>
      <c r="L45" s="405"/>
    </row>
    <row r="46" spans="1:12" ht="12" thickBot="1">
      <c r="A46" s="439"/>
      <c r="B46" s="454" t="s">
        <v>599</v>
      </c>
      <c r="C46" s="402">
        <f>C9*C5</f>
        <v>0</v>
      </c>
      <c r="D46" s="403"/>
      <c r="E46" s="404">
        <f t="shared" si="2"/>
        <v>0</v>
      </c>
      <c r="F46" s="439"/>
      <c r="G46" s="405"/>
      <c r="H46" s="405"/>
      <c r="I46" s="405"/>
      <c r="J46" s="405"/>
      <c r="K46" s="405"/>
      <c r="L46" s="405"/>
    </row>
    <row r="47" spans="1:12" ht="13.5" thickBot="1">
      <c r="A47" s="439"/>
      <c r="B47" s="439"/>
      <c r="C47" s="439"/>
      <c r="D47" s="455" t="s">
        <v>9</v>
      </c>
      <c r="E47" s="527">
        <f>SUMIF(E20:E46,"&gt;0",E20:E46)</f>
        <v>0</v>
      </c>
      <c r="F47" s="439"/>
      <c r="G47" s="405"/>
      <c r="H47" s="405"/>
      <c r="I47" s="405"/>
      <c r="J47" s="405"/>
      <c r="K47" s="405"/>
      <c r="L47" s="405"/>
    </row>
    <row r="48" spans="1:12">
      <c r="A48" s="439"/>
      <c r="B48" s="439"/>
      <c r="C48" s="439"/>
      <c r="D48" s="439"/>
      <c r="E48" s="439"/>
      <c r="F48" s="439"/>
      <c r="G48" s="405"/>
      <c r="H48" s="405"/>
      <c r="I48" s="405"/>
      <c r="J48" s="405"/>
      <c r="K48" s="405"/>
      <c r="L48" s="405"/>
    </row>
    <row r="49" spans="1:6">
      <c r="A49" s="316"/>
      <c r="B49" s="316"/>
      <c r="C49" s="316"/>
      <c r="D49" s="316"/>
      <c r="E49" s="316"/>
      <c r="F49" s="316"/>
    </row>
    <row r="50" spans="1:6" ht="11.25" customHeight="1">
      <c r="A50" s="316"/>
      <c r="B50" s="316"/>
      <c r="C50" s="316"/>
      <c r="D50" s="316"/>
      <c r="E50" s="316"/>
      <c r="F50" s="316"/>
    </row>
    <row r="51" spans="1:6">
      <c r="A51" s="316"/>
      <c r="B51" s="316"/>
      <c r="C51" s="316"/>
      <c r="D51" s="316"/>
      <c r="E51" s="316"/>
      <c r="F51" s="316"/>
    </row>
    <row r="52" spans="1:6">
      <c r="A52" s="316"/>
      <c r="B52" s="316"/>
      <c r="C52" s="316"/>
      <c r="D52" s="316"/>
      <c r="E52" s="316"/>
      <c r="F52" s="316"/>
    </row>
    <row r="53" spans="1:6">
      <c r="A53" s="316"/>
      <c r="B53" s="316"/>
      <c r="C53" s="316"/>
      <c r="D53" s="316"/>
      <c r="E53" s="316"/>
      <c r="F53" s="316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567" priority="3" operator="greaterThan">
      <formula>0</formula>
    </cfRule>
    <cfRule type="cellIs" dxfId="566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565" priority="28" operator="equal">
      <formula>"ДА"</formula>
    </cfRule>
    <cfRule type="cellIs" dxfId="564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63" priority="25" operator="equal">
      <formula>"ДА"</formula>
    </cfRule>
    <cfRule type="cellIs" dxfId="562" priority="26" operator="equal">
      <formula>"НЕТ"</formula>
    </cfRule>
  </conditionalFormatting>
  <conditionalFormatting sqref="I5">
    <cfRule type="cellIs" dxfId="561" priority="22" operator="equal">
      <formula>"ДА"</formula>
    </cfRule>
    <cfRule type="cellIs" dxfId="560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59" priority="18" operator="equal">
      <formula>"ДА"</formula>
    </cfRule>
    <cfRule type="cellIs" dxfId="558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57" priority="14" operator="equal">
      <formula>"ДА"</formula>
    </cfRule>
    <cfRule type="cellIs" dxfId="556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55" priority="9" operator="greaterThan">
      <formula>0</formula>
    </cfRule>
  </conditionalFormatting>
  <conditionalFormatting sqref="C2:C14">
    <cfRule type="cellIs" dxfId="554" priority="7" operator="greaterThan">
      <formula>0</formula>
    </cfRule>
  </conditionalFormatting>
  <conditionalFormatting sqref="C24:E43 C46:E46">
    <cfRule type="cellIs" dxfId="553" priority="6" operator="greaterThan">
      <formula>0</formula>
    </cfRule>
  </conditionalFormatting>
  <conditionalFormatting sqref="E47">
    <cfRule type="cellIs" dxfId="552" priority="4" operator="greaterThan">
      <formula>0</formula>
    </cfRule>
    <cfRule type="cellIs" dxfId="551" priority="5" operator="greaterThan">
      <formula>0</formula>
    </cfRule>
  </conditionalFormatting>
  <conditionalFormatting sqref="C15:C16">
    <cfRule type="cellIs" dxfId="550" priority="2" operator="greaterThan">
      <formula>0</formula>
    </cfRule>
  </conditionalFormatting>
  <conditionalFormatting sqref="C44:E45">
    <cfRule type="cellIs" dxfId="54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65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05"/>
      <c r="B1" s="1229"/>
      <c r="C1" s="1230"/>
      <c r="D1" s="1230"/>
      <c r="E1" s="1230"/>
      <c r="F1" s="405"/>
      <c r="G1" s="405"/>
      <c r="H1" s="405"/>
      <c r="I1" s="405"/>
      <c r="J1" s="405"/>
      <c r="K1" s="405"/>
      <c r="L1" s="405"/>
    </row>
    <row r="2" spans="1:12" ht="12" customHeight="1" thickBot="1">
      <c r="A2" s="405"/>
      <c r="B2" s="407" t="s">
        <v>10</v>
      </c>
      <c r="C2" s="458">
        <v>4</v>
      </c>
      <c r="D2" s="1231" t="s">
        <v>595</v>
      </c>
      <c r="E2" s="1232"/>
      <c r="F2" s="1233"/>
      <c r="G2" s="405"/>
      <c r="H2" s="409" t="s">
        <v>485</v>
      </c>
      <c r="I2" s="622" t="s">
        <v>604</v>
      </c>
      <c r="J2" s="410" t="s">
        <v>4</v>
      </c>
      <c r="K2" s="411" t="s">
        <v>8</v>
      </c>
      <c r="L2" s="405"/>
    </row>
    <row r="3" spans="1:12" ht="12" customHeight="1" thickBot="1">
      <c r="A3" s="405"/>
      <c r="B3" s="412" t="s">
        <v>1</v>
      </c>
      <c r="C3" s="459">
        <v>2</v>
      </c>
      <c r="D3" s="1234"/>
      <c r="E3" s="1235"/>
      <c r="F3" s="1236"/>
      <c r="G3" s="405"/>
      <c r="H3" s="413" t="s">
        <v>489</v>
      </c>
      <c r="I3" s="623" t="str">
        <f>IF(AND($C$9+$C$10+$C$11=1,$C$12+$C$13+$C$14=0,C15=1),"ДА","НЕТ")</f>
        <v>ДА</v>
      </c>
      <c r="J3" s="318"/>
      <c r="K3" s="319">
        <f>IF(I3="ДА",($C$4+$C$5+$C$6+$C$7+$C$8+$C$9)*J3,0)</f>
        <v>0</v>
      </c>
      <c r="L3" s="405"/>
    </row>
    <row r="4" spans="1:12" ht="12" customHeight="1">
      <c r="A4" s="405"/>
      <c r="B4" s="407" t="s">
        <v>438</v>
      </c>
      <c r="C4" s="464">
        <v>0</v>
      </c>
      <c r="D4" s="1231" t="s">
        <v>597</v>
      </c>
      <c r="E4" s="1232"/>
      <c r="F4" s="1233"/>
      <c r="G4" s="405"/>
      <c r="H4" s="418" t="s">
        <v>486</v>
      </c>
      <c r="I4" s="624" t="str">
        <f>IF(AND($C$9+$C$10+$C$11=1,$C$12+$C$13+$C$14=0,C15=3),"ДА","НЕТ")</f>
        <v>НЕТ</v>
      </c>
      <c r="J4" s="322"/>
      <c r="K4" s="323">
        <f t="shared" ref="K4:K19" si="0">IF(I4="ДА",($C$4+$C$5+$C$6+$C$7+$C$8+$C$9)*J4,0)</f>
        <v>0</v>
      </c>
      <c r="L4" s="405"/>
    </row>
    <row r="5" spans="1:12" ht="12" customHeight="1">
      <c r="A5" s="405"/>
      <c r="B5" s="417" t="s">
        <v>439</v>
      </c>
      <c r="C5" s="461">
        <v>0</v>
      </c>
      <c r="D5" s="1251"/>
      <c r="E5" s="1237"/>
      <c r="F5" s="1238"/>
      <c r="G5" s="405"/>
      <c r="H5" s="418" t="s">
        <v>591</v>
      </c>
      <c r="I5" s="624" t="str">
        <f>IF(AND($C$9+$C$10+$C$11=1,$C$12+$C$13+$C$14=0,C15=3),"ДА","НЕТ")</f>
        <v>НЕТ</v>
      </c>
      <c r="J5" s="322"/>
      <c r="K5" s="323">
        <f t="shared" si="0"/>
        <v>0</v>
      </c>
      <c r="L5" s="405"/>
    </row>
    <row r="6" spans="1:12" ht="12" customHeight="1" thickBot="1">
      <c r="A6" s="405"/>
      <c r="B6" s="440" t="s">
        <v>629</v>
      </c>
      <c r="C6" s="466">
        <v>1</v>
      </c>
      <c r="D6" s="1251"/>
      <c r="E6" s="1237"/>
      <c r="F6" s="1238"/>
      <c r="G6" s="405"/>
      <c r="H6" s="418" t="s">
        <v>487</v>
      </c>
      <c r="I6" s="624" t="str">
        <f>IF(AND($C$9+$C$10+$C$11=1,$C$12+$C$13+$C$14=0,C15=2),"ДА","НЕТ")</f>
        <v>НЕТ</v>
      </c>
      <c r="J6" s="322"/>
      <c r="K6" s="323">
        <f t="shared" si="0"/>
        <v>0</v>
      </c>
      <c r="L6" s="405"/>
    </row>
    <row r="7" spans="1:12" ht="12" customHeight="1" thickBot="1">
      <c r="A7" s="405"/>
      <c r="B7" s="429" t="s">
        <v>412</v>
      </c>
      <c r="C7" s="465">
        <v>0</v>
      </c>
      <c r="D7" s="433" t="s">
        <v>287</v>
      </c>
      <c r="E7" s="434" t="s">
        <v>255</v>
      </c>
      <c r="F7" s="563" t="s">
        <v>669</v>
      </c>
      <c r="G7" s="489"/>
      <c r="H7" s="418" t="s">
        <v>488</v>
      </c>
      <c r="I7" s="624" t="str">
        <f>IF(AND($C$9+$C$10+$C$11=1,$C$12+$C$13+$C$14=0,C15=2),"ДА","НЕТ")</f>
        <v>НЕТ</v>
      </c>
      <c r="J7" s="322"/>
      <c r="K7" s="323">
        <f t="shared" si="0"/>
        <v>0</v>
      </c>
      <c r="L7" s="405"/>
    </row>
    <row r="8" spans="1:12" ht="12" customHeight="1" thickBot="1">
      <c r="A8" s="405"/>
      <c r="B8" s="429" t="s">
        <v>481</v>
      </c>
      <c r="C8" s="465">
        <v>0</v>
      </c>
      <c r="D8" s="433" t="s">
        <v>287</v>
      </c>
      <c r="E8" s="434" t="s">
        <v>255</v>
      </c>
      <c r="F8" s="562"/>
      <c r="G8" s="523"/>
      <c r="H8" s="418" t="s">
        <v>494</v>
      </c>
      <c r="I8" s="624" t="str">
        <f>IF(AND($C$9+$C$10+$C$11=1,$C$12+$C$13+$C$14=0,C15=2),"ДА","НЕТ")</f>
        <v>НЕТ</v>
      </c>
      <c r="J8" s="322"/>
      <c r="K8" s="323">
        <f t="shared" si="0"/>
        <v>0</v>
      </c>
      <c r="L8" s="405"/>
    </row>
    <row r="9" spans="1:12" ht="12" customHeight="1">
      <c r="A9" s="405"/>
      <c r="B9" s="407" t="s">
        <v>498</v>
      </c>
      <c r="C9" s="464">
        <v>0</v>
      </c>
      <c r="D9" s="420" t="s">
        <v>287</v>
      </c>
      <c r="E9" s="421" t="s">
        <v>255</v>
      </c>
      <c r="F9" s="1239" t="s">
        <v>597</v>
      </c>
      <c r="G9" s="489"/>
      <c r="H9" s="413" t="s">
        <v>590</v>
      </c>
      <c r="I9" s="624" t="str">
        <f>IF(AND($C$9+$C$10+$C$11=1,$C$12+$C$13+$C$14=0,C15=1),"ДА","НЕТ")</f>
        <v>ДА</v>
      </c>
      <c r="J9" s="318"/>
      <c r="K9" s="319">
        <f t="shared" si="0"/>
        <v>0</v>
      </c>
      <c r="L9" s="405"/>
    </row>
    <row r="10" spans="1:12" ht="12" customHeight="1">
      <c r="A10" s="405"/>
      <c r="B10" s="417" t="s">
        <v>499</v>
      </c>
      <c r="C10" s="461">
        <v>0</v>
      </c>
      <c r="D10" s="424" t="s">
        <v>287</v>
      </c>
      <c r="E10" s="424" t="s">
        <v>255</v>
      </c>
      <c r="F10" s="1240"/>
      <c r="G10" s="405"/>
      <c r="H10" s="413" t="s">
        <v>383</v>
      </c>
      <c r="I10" s="624" t="str">
        <f>IF(AND($C$9+$C$10+$C$11+C14=0,$C$12+$C$13=1,C15=1),"ДА","НЕТ")</f>
        <v>НЕТ</v>
      </c>
      <c r="J10" s="325"/>
      <c r="K10" s="326">
        <f t="shared" si="0"/>
        <v>0</v>
      </c>
      <c r="L10" s="405"/>
    </row>
    <row r="11" spans="1:12" ht="12" customHeight="1">
      <c r="A11" s="405"/>
      <c r="B11" s="417" t="s">
        <v>587</v>
      </c>
      <c r="C11" s="461">
        <v>1</v>
      </c>
      <c r="D11" s="424" t="s">
        <v>287</v>
      </c>
      <c r="E11" s="424" t="s">
        <v>255</v>
      </c>
      <c r="F11" s="1240"/>
      <c r="G11" s="405"/>
      <c r="H11" s="416" t="s">
        <v>384</v>
      </c>
      <c r="I11" s="624" t="str">
        <f>IF(AND($C$9+$C$10+$C$11+C14=0,$C$12+$C$13=1,C15=1),"ДА","НЕТ")</f>
        <v>НЕТ</v>
      </c>
      <c r="J11" s="325"/>
      <c r="K11" s="326">
        <f t="shared" si="0"/>
        <v>0</v>
      </c>
      <c r="L11" s="405"/>
    </row>
    <row r="12" spans="1:12" ht="12" customHeight="1">
      <c r="A12" s="405"/>
      <c r="B12" s="419" t="s">
        <v>500</v>
      </c>
      <c r="C12" s="462">
        <v>0</v>
      </c>
      <c r="D12" s="422" t="s">
        <v>287</v>
      </c>
      <c r="E12" s="423" t="s">
        <v>255</v>
      </c>
      <c r="F12" s="1240"/>
      <c r="G12" s="405"/>
      <c r="H12" s="416" t="s">
        <v>385</v>
      </c>
      <c r="I12" s="624" t="str">
        <f>IF(AND($C$9+$C$10+$C$11+C14=0,$C$12+$C$13=1,C15=1),"ДА","НЕТ")</f>
        <v>НЕТ</v>
      </c>
      <c r="J12" s="328"/>
      <c r="K12" s="326">
        <f t="shared" si="0"/>
        <v>0</v>
      </c>
      <c r="L12" s="405"/>
    </row>
    <row r="13" spans="1:12" ht="12" customHeight="1">
      <c r="A13" s="405"/>
      <c r="B13" s="417" t="s">
        <v>501</v>
      </c>
      <c r="C13" s="461">
        <v>0</v>
      </c>
      <c r="D13" s="424" t="s">
        <v>287</v>
      </c>
      <c r="E13" s="425" t="s">
        <v>255</v>
      </c>
      <c r="F13" s="1240"/>
      <c r="G13" s="405"/>
      <c r="H13" s="416" t="s">
        <v>592</v>
      </c>
      <c r="I13" s="624" t="str">
        <f>IF(AND($C$10+$C$11+$C$12+$C$13+$C$9=0,$C$14=1,C15=1),"ДА","НЕТ")</f>
        <v>НЕТ</v>
      </c>
      <c r="J13" s="328"/>
      <c r="K13" s="326">
        <f t="shared" si="0"/>
        <v>0</v>
      </c>
      <c r="L13" s="405"/>
    </row>
    <row r="14" spans="1:12" ht="12" customHeight="1" thickBot="1">
      <c r="A14" s="405"/>
      <c r="B14" s="440" t="s">
        <v>588</v>
      </c>
      <c r="C14" s="466">
        <v>0</v>
      </c>
      <c r="D14" s="424" t="s">
        <v>287</v>
      </c>
      <c r="E14" s="425" t="s">
        <v>255</v>
      </c>
      <c r="F14" s="1241"/>
      <c r="G14" s="405"/>
      <c r="H14" s="416" t="s">
        <v>592</v>
      </c>
      <c r="I14" s="624" t="str">
        <f>IF(AND($C$10+$C$11+$C$12+$C$13+$C$9=0,$C$14=1,C15=1),"ДА","НЕТ")</f>
        <v>НЕТ</v>
      </c>
      <c r="J14" s="328"/>
      <c r="K14" s="326">
        <f t="shared" si="0"/>
        <v>0</v>
      </c>
      <c r="L14" s="405"/>
    </row>
    <row r="15" spans="1:12" ht="12" customHeight="1" thickBot="1">
      <c r="A15" s="405"/>
      <c r="B15" s="429" t="s">
        <v>589</v>
      </c>
      <c r="C15" s="548">
        <v>1</v>
      </c>
      <c r="D15" s="433" t="s">
        <v>619</v>
      </c>
      <c r="E15" s="434" t="s">
        <v>620</v>
      </c>
      <c r="F15" s="436" t="s">
        <v>621</v>
      </c>
      <c r="G15" s="405"/>
      <c r="H15" s="413" t="s">
        <v>388</v>
      </c>
      <c r="I15" s="624" t="str">
        <f>IF(AND($C$9+$C$10+$C$11+C14=0,$C$12+$C$13=1,C15=2),"ДА","НЕТ")</f>
        <v>НЕТ</v>
      </c>
      <c r="J15" s="325"/>
      <c r="K15" s="326">
        <f t="shared" si="0"/>
        <v>0</v>
      </c>
      <c r="L15" s="405"/>
    </row>
    <row r="16" spans="1:12" ht="12" customHeight="1" thickBot="1">
      <c r="A16" s="405"/>
      <c r="B16" s="440" t="s">
        <v>531</v>
      </c>
      <c r="C16" s="466">
        <v>0</v>
      </c>
      <c r="D16" s="424" t="s">
        <v>287</v>
      </c>
      <c r="E16" s="425" t="s">
        <v>255</v>
      </c>
      <c r="F16" s="563" t="s">
        <v>669</v>
      </c>
      <c r="G16" s="405"/>
      <c r="H16" s="416" t="s">
        <v>389</v>
      </c>
      <c r="I16" s="624" t="str">
        <f>IF(AND($C$9+$C$10+$C$11+C14=0,$C$12+$C$13=1,C15=2),"ДА","НЕТ")</f>
        <v>НЕТ</v>
      </c>
      <c r="J16" s="325"/>
      <c r="K16" s="326">
        <f t="shared" si="0"/>
        <v>0</v>
      </c>
      <c r="L16" s="405"/>
    </row>
    <row r="17" spans="1:12" ht="12" customHeight="1">
      <c r="A17" s="405"/>
      <c r="B17" s="407" t="s">
        <v>361</v>
      </c>
      <c r="C17" s="464">
        <v>0</v>
      </c>
      <c r="D17" s="420" t="s">
        <v>287</v>
      </c>
      <c r="E17" s="421" t="s">
        <v>255</v>
      </c>
      <c r="F17" s="1239" t="s">
        <v>597</v>
      </c>
      <c r="G17" s="405"/>
      <c r="H17" s="416" t="s">
        <v>390</v>
      </c>
      <c r="I17" s="624" t="str">
        <f>IF(AND($C$9+$C$10+$C$11+C14=0,$C$12+$C$13=1,C15=2),"ДА","НЕТ")</f>
        <v>НЕТ</v>
      </c>
      <c r="J17" s="325"/>
      <c r="K17" s="323">
        <f t="shared" si="0"/>
        <v>0</v>
      </c>
      <c r="L17" s="405"/>
    </row>
    <row r="18" spans="1:12" ht="12" customHeight="1">
      <c r="A18" s="405"/>
      <c r="B18" s="419" t="s">
        <v>466</v>
      </c>
      <c r="C18" s="462">
        <v>0</v>
      </c>
      <c r="D18" s="424" t="s">
        <v>287</v>
      </c>
      <c r="E18" s="425" t="s">
        <v>255</v>
      </c>
      <c r="F18" s="1240"/>
      <c r="G18" s="405"/>
      <c r="H18" s="413" t="s">
        <v>593</v>
      </c>
      <c r="I18" s="623" t="str">
        <f>IF(AND($C$10+$C$11+$C$12+$C$13+$C$9=0,$C$14=1,C15=2),"ДА","НЕТ")</f>
        <v>НЕТ</v>
      </c>
      <c r="J18" s="329"/>
      <c r="K18" s="330">
        <f t="shared" si="0"/>
        <v>0</v>
      </c>
      <c r="L18" s="405"/>
    </row>
    <row r="19" spans="1:12" ht="12" customHeight="1" thickBot="1">
      <c r="A19" s="405"/>
      <c r="B19" s="417" t="s">
        <v>362</v>
      </c>
      <c r="C19" s="461">
        <v>0</v>
      </c>
      <c r="D19" s="424" t="s">
        <v>287</v>
      </c>
      <c r="E19" s="425" t="s">
        <v>255</v>
      </c>
      <c r="F19" s="1240"/>
      <c r="G19" s="405"/>
      <c r="H19" s="437" t="s">
        <v>594</v>
      </c>
      <c r="I19" s="634" t="str">
        <f>IF(AND($C$10+$C$11+$C$12+$C$13+$C$9=0,$C$14=1,C15=2),"ДА","НЕТ")</f>
        <v>НЕТ</v>
      </c>
      <c r="J19" s="332"/>
      <c r="K19" s="333">
        <f t="shared" si="0"/>
        <v>0</v>
      </c>
      <c r="L19" s="405"/>
    </row>
    <row r="20" spans="1:12" ht="12" customHeight="1" thickBot="1">
      <c r="A20" s="405"/>
      <c r="B20" s="412" t="s">
        <v>467</v>
      </c>
      <c r="C20" s="463">
        <v>1</v>
      </c>
      <c r="D20" s="427" t="s">
        <v>287</v>
      </c>
      <c r="E20" s="428" t="s">
        <v>255</v>
      </c>
      <c r="F20" s="1241"/>
      <c r="G20" s="405"/>
      <c r="H20" s="405"/>
      <c r="I20" s="405"/>
      <c r="J20" s="405"/>
      <c r="K20" s="405"/>
      <c r="L20" s="405"/>
    </row>
    <row r="21" spans="1:12" ht="12" customHeight="1" thickBot="1">
      <c r="A21" s="405"/>
      <c r="B21" s="440" t="s">
        <v>532</v>
      </c>
      <c r="C21" s="466">
        <v>0</v>
      </c>
      <c r="D21" s="427" t="s">
        <v>287</v>
      </c>
      <c r="E21" s="428" t="s">
        <v>255</v>
      </c>
      <c r="F21" s="557"/>
      <c r="G21" s="405"/>
      <c r="H21" s="405"/>
      <c r="I21" s="405"/>
      <c r="J21" s="405"/>
      <c r="K21" s="405"/>
      <c r="L21" s="405"/>
    </row>
    <row r="22" spans="1:12" ht="12" customHeight="1">
      <c r="A22" s="405"/>
      <c r="B22" s="729" t="s">
        <v>147</v>
      </c>
      <c r="C22" s="464">
        <v>1</v>
      </c>
      <c r="D22" s="1243" t="s">
        <v>686</v>
      </c>
      <c r="E22" s="1243"/>
      <c r="F22" s="1244"/>
      <c r="G22" s="405"/>
      <c r="H22" s="405"/>
      <c r="I22" s="405"/>
      <c r="J22" s="405"/>
      <c r="K22" s="405"/>
      <c r="L22" s="405"/>
    </row>
    <row r="23" spans="1:12" ht="12" customHeight="1" thickBot="1">
      <c r="A23" s="405"/>
      <c r="B23" s="730" t="s">
        <v>146</v>
      </c>
      <c r="C23" s="463">
        <v>0</v>
      </c>
      <c r="D23" s="1249" t="s">
        <v>687</v>
      </c>
      <c r="E23" s="1249"/>
      <c r="F23" s="1250"/>
      <c r="G23" s="405"/>
      <c r="H23" s="405"/>
      <c r="I23" s="405"/>
      <c r="J23" s="405"/>
      <c r="K23" s="405"/>
      <c r="L23" s="405"/>
    </row>
    <row r="24" spans="1:12" ht="12" customHeight="1" thickBot="1">
      <c r="A24" s="405"/>
      <c r="B24" s="439"/>
      <c r="C24" s="439"/>
      <c r="D24" s="439"/>
      <c r="E24" s="439"/>
      <c r="F24" s="439"/>
      <c r="G24" s="405"/>
      <c r="H24" s="405"/>
      <c r="I24" s="405"/>
      <c r="J24" s="405"/>
      <c r="K24" s="405"/>
      <c r="L24" s="405"/>
    </row>
    <row r="25" spans="1:12" ht="12" customHeight="1">
      <c r="A25" s="405"/>
      <c r="B25" s="444" t="s">
        <v>5</v>
      </c>
      <c r="C25" s="445" t="s">
        <v>0</v>
      </c>
      <c r="D25" s="631" t="s">
        <v>4</v>
      </c>
      <c r="E25" s="447" t="s">
        <v>8</v>
      </c>
      <c r="F25" s="439"/>
      <c r="G25" s="405"/>
      <c r="H25" s="405"/>
      <c r="I25" s="405"/>
      <c r="J25" s="405"/>
      <c r="K25" s="405"/>
      <c r="L25" s="405"/>
    </row>
    <row r="26" spans="1:12" ht="12" customHeight="1">
      <c r="A26" s="405"/>
      <c r="B26" s="449" t="s">
        <v>563</v>
      </c>
      <c r="C26" s="342">
        <f>IF(AND(C16=0,C7=0),C20*(C4+C5+C6),0)</f>
        <v>1</v>
      </c>
      <c r="D26" s="551">
        <v>1</v>
      </c>
      <c r="E26" s="552">
        <f t="shared" ref="E26:E37" si="1">D26*C26</f>
        <v>1</v>
      </c>
      <c r="F26" s="439"/>
      <c r="G26" s="405"/>
      <c r="H26" s="405"/>
      <c r="I26" s="405"/>
      <c r="J26" s="405"/>
      <c r="K26" s="405"/>
      <c r="L26" s="405"/>
    </row>
    <row r="27" spans="1:12" ht="12" customHeight="1">
      <c r="A27" s="405"/>
      <c r="B27" s="449" t="s">
        <v>564</v>
      </c>
      <c r="C27" s="342">
        <f>(C4+C5+C6)*C18</f>
        <v>0</v>
      </c>
      <c r="D27" s="551"/>
      <c r="E27" s="552">
        <f>C27*D27</f>
        <v>0</v>
      </c>
      <c r="F27" s="439"/>
      <c r="G27" s="405"/>
      <c r="H27" s="405"/>
      <c r="I27" s="405"/>
      <c r="J27" s="405"/>
      <c r="K27" s="405"/>
      <c r="L27" s="405"/>
    </row>
    <row r="28" spans="1:12" ht="12" customHeight="1">
      <c r="A28" s="405"/>
      <c r="B28" s="449" t="s">
        <v>653</v>
      </c>
      <c r="C28" s="342">
        <f>IF(AND(C16=1,C7=0),C16*(C4+C5+C6),0)</f>
        <v>0</v>
      </c>
      <c r="D28" s="551"/>
      <c r="E28" s="552">
        <f>D28*C28</f>
        <v>0</v>
      </c>
      <c r="F28" s="439"/>
      <c r="G28" s="405"/>
      <c r="H28" s="405"/>
      <c r="I28" s="405"/>
      <c r="J28" s="405"/>
      <c r="K28" s="405"/>
      <c r="L28" s="405"/>
    </row>
    <row r="29" spans="1:12" ht="12" customHeight="1">
      <c r="A29" s="405"/>
      <c r="B29" s="449" t="s">
        <v>654</v>
      </c>
      <c r="C29" s="342">
        <f>IF(AND(C7=1,C16=0),C20*(C4+C5+C6)*C7,0)</f>
        <v>0</v>
      </c>
      <c r="D29" s="551"/>
      <c r="E29" s="552">
        <f t="shared" si="1"/>
        <v>0</v>
      </c>
      <c r="F29" s="439"/>
      <c r="G29" s="405"/>
      <c r="H29" s="405"/>
      <c r="I29" s="405"/>
      <c r="J29" s="405"/>
      <c r="K29" s="405"/>
      <c r="L29" s="405"/>
    </row>
    <row r="30" spans="1:12" ht="12" customHeight="1">
      <c r="A30" s="405"/>
      <c r="B30" s="449" t="s">
        <v>117</v>
      </c>
      <c r="C30" s="342">
        <f>(C17+C19)*2*(C4+C5+C6)</f>
        <v>0</v>
      </c>
      <c r="D30" s="551"/>
      <c r="E30" s="552">
        <f t="shared" si="1"/>
        <v>0</v>
      </c>
      <c r="F30" s="439"/>
      <c r="G30" s="405"/>
      <c r="H30" s="405"/>
      <c r="I30" s="405"/>
      <c r="J30" s="405"/>
      <c r="K30" s="405"/>
      <c r="L30" s="405"/>
    </row>
    <row r="31" spans="1:12" ht="12" customHeight="1">
      <c r="A31" s="405"/>
      <c r="B31" s="451" t="s">
        <v>655</v>
      </c>
      <c r="C31" s="347">
        <f>EVEN(ROUNDDOWN(IF(C4+C5+C6&gt;0.9,(C4+C5+C6)*(C2/0.5)+1,0),0))</f>
        <v>10</v>
      </c>
      <c r="D31" s="551"/>
      <c r="E31" s="552">
        <f t="shared" si="1"/>
        <v>0</v>
      </c>
      <c r="F31" s="439"/>
      <c r="G31" s="405"/>
      <c r="H31" s="405"/>
      <c r="I31" s="405"/>
      <c r="J31" s="405"/>
      <c r="K31" s="405"/>
      <c r="L31" s="405"/>
    </row>
    <row r="32" spans="1:12" ht="12" customHeight="1">
      <c r="A32" s="405"/>
      <c r="B32" s="451" t="s">
        <v>420</v>
      </c>
      <c r="C32" s="347">
        <f>IF(AND(C9+C10+C11&gt;0,C12+C13+C14=0),(C4+C5+C6)*2,0)</f>
        <v>2</v>
      </c>
      <c r="D32" s="551"/>
      <c r="E32" s="552">
        <f t="shared" si="1"/>
        <v>0</v>
      </c>
      <c r="F32" s="439"/>
      <c r="G32" s="405"/>
      <c r="H32" s="405"/>
      <c r="I32" s="405"/>
      <c r="J32" s="405"/>
      <c r="K32" s="405"/>
      <c r="L32" s="405"/>
    </row>
    <row r="33" spans="1:12" ht="12" customHeight="1">
      <c r="A33" s="405"/>
      <c r="B33" s="451" t="s">
        <v>420</v>
      </c>
      <c r="C33" s="347">
        <f>IF(AND(C9+C10+C11=0,C12+C13+C14&gt;0),(C4+C5+C6),0)</f>
        <v>0</v>
      </c>
      <c r="D33" s="551"/>
      <c r="E33" s="552">
        <f>D33*C33</f>
        <v>0</v>
      </c>
      <c r="F33" s="439"/>
      <c r="G33" s="405"/>
      <c r="H33" s="405"/>
      <c r="I33" s="405"/>
      <c r="J33" s="405"/>
      <c r="K33" s="405"/>
      <c r="L33" s="405"/>
    </row>
    <row r="34" spans="1:12" ht="12" customHeight="1">
      <c r="A34" s="405"/>
      <c r="B34" s="451" t="s">
        <v>511</v>
      </c>
      <c r="C34" s="347">
        <f>IF(AND(C9+C10+C11=0,C12+C13+C14&gt;0),(C4+C5),0)</f>
        <v>0</v>
      </c>
      <c r="D34" s="551"/>
      <c r="E34" s="552">
        <f t="shared" si="1"/>
        <v>0</v>
      </c>
      <c r="F34" s="439"/>
      <c r="G34" s="405"/>
      <c r="H34" s="405"/>
      <c r="I34" s="405"/>
      <c r="J34" s="405"/>
      <c r="K34" s="405"/>
      <c r="L34" s="405"/>
    </row>
    <row r="35" spans="1:12" ht="12" customHeight="1">
      <c r="A35" s="405"/>
      <c r="B35" s="449" t="s">
        <v>656</v>
      </c>
      <c r="C35" s="342">
        <f>C4+C5+C6</f>
        <v>1</v>
      </c>
      <c r="D35" s="551"/>
      <c r="E35" s="552">
        <f t="shared" si="1"/>
        <v>0</v>
      </c>
      <c r="F35" s="439"/>
      <c r="G35" s="405"/>
      <c r="H35" s="405"/>
      <c r="I35" s="405"/>
      <c r="J35" s="405"/>
      <c r="K35" s="405"/>
      <c r="L35" s="405"/>
    </row>
    <row r="36" spans="1:12" ht="12" customHeight="1">
      <c r="A36" s="405"/>
      <c r="B36" s="449" t="s">
        <v>657</v>
      </c>
      <c r="C36" s="350">
        <f>C4+C5+C6</f>
        <v>1</v>
      </c>
      <c r="D36" s="551"/>
      <c r="E36" s="552">
        <f t="shared" si="1"/>
        <v>0</v>
      </c>
      <c r="F36" s="439"/>
      <c r="G36" s="405"/>
      <c r="H36" s="405"/>
      <c r="I36" s="405"/>
      <c r="J36" s="405"/>
      <c r="K36" s="405"/>
      <c r="L36" s="405"/>
    </row>
    <row r="37" spans="1:12" ht="12" customHeight="1">
      <c r="A37" s="405"/>
      <c r="B37" s="449" t="s">
        <v>658</v>
      </c>
      <c r="C37" s="342">
        <f>(C4+C5+C6)*2</f>
        <v>2</v>
      </c>
      <c r="D37" s="551"/>
      <c r="E37" s="552">
        <f t="shared" si="1"/>
        <v>0</v>
      </c>
      <c r="F37" s="439"/>
      <c r="G37" s="405"/>
      <c r="H37" s="405"/>
      <c r="I37" s="405"/>
      <c r="J37" s="405"/>
      <c r="K37" s="405"/>
      <c r="L37" s="405"/>
    </row>
    <row r="38" spans="1:12" ht="12" customHeight="1">
      <c r="A38" s="405"/>
      <c r="B38" s="451" t="s">
        <v>646</v>
      </c>
      <c r="C38" s="342">
        <f>C21*(C4+C5+C6)</f>
        <v>0</v>
      </c>
      <c r="D38" s="551"/>
      <c r="E38" s="552">
        <f>D38*C38</f>
        <v>0</v>
      </c>
      <c r="F38" s="439"/>
      <c r="G38" s="405"/>
      <c r="H38" s="405"/>
      <c r="I38" s="405"/>
      <c r="J38" s="405"/>
      <c r="K38" s="405"/>
      <c r="L38" s="405"/>
    </row>
    <row r="39" spans="1:12" ht="12" customHeight="1">
      <c r="A39" s="405"/>
      <c r="B39" s="451" t="s">
        <v>445</v>
      </c>
      <c r="C39" s="342">
        <f>C4</f>
        <v>0</v>
      </c>
      <c r="D39" s="551"/>
      <c r="E39" s="552">
        <f>C39*D39</f>
        <v>0</v>
      </c>
      <c r="F39" s="439"/>
      <c r="G39" s="405"/>
      <c r="H39" s="405"/>
      <c r="I39" s="405"/>
      <c r="J39" s="405"/>
      <c r="K39" s="405"/>
      <c r="L39" s="405"/>
    </row>
    <row r="40" spans="1:12" ht="12" customHeight="1">
      <c r="A40" s="405"/>
      <c r="B40" s="451" t="s">
        <v>446</v>
      </c>
      <c r="C40" s="342">
        <f>C4*2</f>
        <v>0</v>
      </c>
      <c r="D40" s="551"/>
      <c r="E40" s="552">
        <f>C40*D40</f>
        <v>0</v>
      </c>
      <c r="F40" s="439"/>
      <c r="G40" s="405"/>
      <c r="H40" s="405"/>
      <c r="I40" s="405"/>
      <c r="J40" s="405"/>
      <c r="K40" s="405"/>
      <c r="L40" s="405"/>
    </row>
    <row r="41" spans="1:12" ht="12" customHeight="1">
      <c r="A41" s="405"/>
      <c r="B41" s="451" t="s">
        <v>652</v>
      </c>
      <c r="C41" s="342">
        <f>C6*2</f>
        <v>2</v>
      </c>
      <c r="D41" s="551"/>
      <c r="E41" s="552">
        <f>C41*D41</f>
        <v>0</v>
      </c>
      <c r="F41" s="439"/>
      <c r="G41" s="405"/>
      <c r="H41" s="405"/>
      <c r="I41" s="405"/>
      <c r="J41" s="405"/>
      <c r="K41" s="405"/>
      <c r="L41" s="405"/>
    </row>
    <row r="42" spans="1:12" ht="12" customHeight="1">
      <c r="A42" s="405"/>
      <c r="B42" s="451" t="s">
        <v>434</v>
      </c>
      <c r="C42" s="342">
        <f>C5+C6</f>
        <v>1</v>
      </c>
      <c r="D42" s="551"/>
      <c r="E42" s="552">
        <f>C42*D42</f>
        <v>0</v>
      </c>
      <c r="F42" s="439"/>
      <c r="G42" s="405"/>
      <c r="H42" s="405"/>
      <c r="I42" s="405"/>
      <c r="J42" s="405"/>
      <c r="K42" s="405"/>
      <c r="L42" s="405"/>
    </row>
    <row r="43" spans="1:12" ht="12" customHeight="1">
      <c r="A43" s="405"/>
      <c r="B43" s="449" t="s">
        <v>474</v>
      </c>
      <c r="C43" s="342">
        <f>(C4+C5+C6)*C2</f>
        <v>4</v>
      </c>
      <c r="D43" s="551"/>
      <c r="E43" s="552">
        <f>D43*C43</f>
        <v>0</v>
      </c>
      <c r="F43" s="439"/>
      <c r="G43" s="405"/>
      <c r="H43" s="405"/>
      <c r="I43" s="405"/>
      <c r="J43" s="405"/>
      <c r="K43" s="405"/>
      <c r="L43" s="405"/>
    </row>
    <row r="44" spans="1:12" ht="12" customHeight="1">
      <c r="A44" s="405"/>
      <c r="B44" s="449" t="s">
        <v>474</v>
      </c>
      <c r="C44" s="342">
        <f>C20*C2*(C4+C5+C6)</f>
        <v>4</v>
      </c>
      <c r="D44" s="551"/>
      <c r="E44" s="552">
        <f>D44*C44</f>
        <v>0</v>
      </c>
      <c r="F44" s="439"/>
      <c r="G44" s="405"/>
      <c r="H44" s="405"/>
      <c r="I44" s="405"/>
      <c r="J44" s="405"/>
      <c r="K44" s="405"/>
      <c r="L44" s="405"/>
    </row>
    <row r="45" spans="1:12" ht="12" customHeight="1">
      <c r="A45" s="405"/>
      <c r="B45" s="451" t="s">
        <v>363</v>
      </c>
      <c r="C45" s="347">
        <f>C19*2*C2*(C4+C5+C6)</f>
        <v>0</v>
      </c>
      <c r="D45" s="551"/>
      <c r="E45" s="552">
        <f>D45*C45</f>
        <v>0</v>
      </c>
      <c r="F45" s="439"/>
      <c r="G45" s="405"/>
      <c r="H45" s="405"/>
      <c r="I45" s="405"/>
      <c r="J45" s="405"/>
      <c r="K45" s="405"/>
      <c r="L45" s="405"/>
    </row>
    <row r="46" spans="1:12" ht="12" customHeight="1">
      <c r="A46" s="405"/>
      <c r="B46" s="451" t="s">
        <v>477</v>
      </c>
      <c r="C46" s="347">
        <f>(C17+C18)*C2*(C4+C5+C6)</f>
        <v>0</v>
      </c>
      <c r="D46" s="553"/>
      <c r="E46" s="552">
        <f>C46*D46</f>
        <v>0</v>
      </c>
      <c r="F46" s="439"/>
      <c r="G46" s="405"/>
      <c r="H46" s="405"/>
      <c r="I46" s="405"/>
      <c r="J46" s="405"/>
      <c r="K46" s="405"/>
      <c r="L46" s="405"/>
    </row>
    <row r="47" spans="1:12" ht="12" customHeight="1">
      <c r="A47" s="405"/>
      <c r="B47" s="451" t="s">
        <v>473</v>
      </c>
      <c r="C47" s="347">
        <f>C20*C2*(C4+C5+C6)</f>
        <v>4</v>
      </c>
      <c r="D47" s="551"/>
      <c r="E47" s="552">
        <f>D47*C47</f>
        <v>0</v>
      </c>
      <c r="F47" s="439"/>
      <c r="G47" s="405"/>
      <c r="H47" s="405"/>
      <c r="I47" s="405"/>
      <c r="J47" s="405"/>
      <c r="K47" s="405"/>
      <c r="L47" s="405"/>
    </row>
    <row r="48" spans="1:12" ht="12" customHeight="1">
      <c r="A48" s="405"/>
      <c r="B48" s="451" t="s">
        <v>537</v>
      </c>
      <c r="C48" s="347">
        <f>C18*C2*(C4+C5+C6)</f>
        <v>0</v>
      </c>
      <c r="D48" s="551"/>
      <c r="E48" s="552">
        <f>D48*C48</f>
        <v>0</v>
      </c>
      <c r="F48" s="439"/>
      <c r="G48" s="405"/>
      <c r="H48" s="405"/>
      <c r="I48" s="405"/>
      <c r="J48" s="405"/>
      <c r="K48" s="405"/>
      <c r="L48" s="405"/>
    </row>
    <row r="49" spans="1:12" ht="12" customHeight="1">
      <c r="A49" s="405"/>
      <c r="B49" s="451" t="s">
        <v>364</v>
      </c>
      <c r="C49" s="347">
        <f>C17*C2*(C4+C5*C6)</f>
        <v>0</v>
      </c>
      <c r="D49" s="551"/>
      <c r="E49" s="552">
        <f t="shared" ref="E49:E83" si="2">C49*D49</f>
        <v>0</v>
      </c>
      <c r="F49" s="439"/>
      <c r="G49" s="405"/>
      <c r="H49" s="405"/>
      <c r="I49" s="405"/>
      <c r="J49" s="405"/>
      <c r="K49" s="405"/>
      <c r="L49" s="405"/>
    </row>
    <row r="50" spans="1:12" ht="12" customHeight="1">
      <c r="A50" s="405"/>
      <c r="B50" s="451" t="s">
        <v>365</v>
      </c>
      <c r="C50" s="347">
        <f>C19*C2*(C4+C5+C6)</f>
        <v>0</v>
      </c>
      <c r="D50" s="551"/>
      <c r="E50" s="552">
        <f t="shared" si="2"/>
        <v>0</v>
      </c>
      <c r="F50" s="439"/>
      <c r="G50" s="405"/>
      <c r="H50" s="405"/>
      <c r="I50" s="405"/>
      <c r="J50" s="405"/>
      <c r="K50" s="405"/>
      <c r="L50" s="405"/>
    </row>
    <row r="51" spans="1:12" ht="12" customHeight="1">
      <c r="A51" s="405"/>
      <c r="B51" s="449" t="s">
        <v>461</v>
      </c>
      <c r="C51" s="342">
        <f>C2*C4</f>
        <v>0</v>
      </c>
      <c r="D51" s="551"/>
      <c r="E51" s="552">
        <f t="shared" si="2"/>
        <v>0</v>
      </c>
      <c r="F51" s="439"/>
      <c r="G51" s="405"/>
      <c r="H51" s="405"/>
      <c r="I51" s="405"/>
      <c r="J51" s="405"/>
      <c r="K51" s="405"/>
      <c r="L51" s="405"/>
    </row>
    <row r="52" spans="1:12" ht="12" customHeight="1">
      <c r="A52" s="405"/>
      <c r="B52" s="449" t="s">
        <v>462</v>
      </c>
      <c r="C52" s="342">
        <f>C2*C5</f>
        <v>0</v>
      </c>
      <c r="D52" s="551"/>
      <c r="E52" s="552">
        <f t="shared" si="2"/>
        <v>0</v>
      </c>
      <c r="F52" s="439"/>
      <c r="G52" s="405"/>
      <c r="H52" s="605"/>
      <c r="I52" s="405"/>
      <c r="J52" s="405"/>
      <c r="K52" s="405"/>
      <c r="L52" s="405"/>
    </row>
    <row r="53" spans="1:12" ht="12" customHeight="1">
      <c r="A53" s="405"/>
      <c r="B53" s="449" t="s">
        <v>601</v>
      </c>
      <c r="C53" s="342">
        <f>C2*C6</f>
        <v>4</v>
      </c>
      <c r="D53" s="551"/>
      <c r="E53" s="552">
        <f>C53*D53</f>
        <v>0</v>
      </c>
      <c r="F53" s="439"/>
      <c r="G53" s="405"/>
      <c r="H53" s="405"/>
      <c r="I53" s="405"/>
      <c r="J53" s="405"/>
      <c r="K53" s="405"/>
      <c r="L53" s="405"/>
    </row>
    <row r="54" spans="1:12" ht="12" customHeight="1">
      <c r="A54" s="405"/>
      <c r="B54" s="635" t="s">
        <v>640</v>
      </c>
      <c r="C54" s="342">
        <f>IF(AND(C7=1,C8=1),(C4+C5+C6)*C2,0)</f>
        <v>0</v>
      </c>
      <c r="D54" s="551"/>
      <c r="E54" s="552">
        <f t="shared" si="2"/>
        <v>0</v>
      </c>
      <c r="F54" s="439"/>
      <c r="G54" s="405"/>
      <c r="H54" s="405"/>
      <c r="I54" s="405"/>
      <c r="J54" s="405"/>
      <c r="K54" s="405"/>
      <c r="L54" s="405"/>
    </row>
    <row r="55" spans="1:12" ht="12" customHeight="1">
      <c r="A55" s="405"/>
      <c r="B55" s="449" t="s">
        <v>442</v>
      </c>
      <c r="C55" s="342">
        <f>(C4+C5+C6)*2</f>
        <v>2</v>
      </c>
      <c r="D55" s="551"/>
      <c r="E55" s="552">
        <f t="shared" si="2"/>
        <v>0</v>
      </c>
      <c r="F55" s="439"/>
      <c r="G55" s="405"/>
      <c r="H55" s="405"/>
      <c r="I55" s="405"/>
      <c r="J55" s="405"/>
      <c r="K55" s="405"/>
      <c r="L55" s="405"/>
    </row>
    <row r="56" spans="1:12" ht="12" customHeight="1">
      <c r="A56" s="405"/>
      <c r="B56" s="451" t="s">
        <v>659</v>
      </c>
      <c r="C56" s="347">
        <f>IF(C7=1,(C4+C5+C6)*2*C3,0)</f>
        <v>0</v>
      </c>
      <c r="D56" s="551"/>
      <c r="E56" s="552">
        <f t="shared" si="2"/>
        <v>0</v>
      </c>
      <c r="F56" s="439"/>
      <c r="G56" s="405"/>
      <c r="H56" s="405"/>
      <c r="I56" s="405"/>
      <c r="J56" s="405"/>
      <c r="K56" s="405"/>
      <c r="L56" s="405"/>
    </row>
    <row r="57" spans="1:12" ht="12" customHeight="1">
      <c r="A57" s="405"/>
      <c r="B57" s="451" t="s">
        <v>660</v>
      </c>
      <c r="C57" s="347">
        <f>IF(C7=1,(C4+C5+C6)*2*C3,0)</f>
        <v>0</v>
      </c>
      <c r="D57" s="551"/>
      <c r="E57" s="552">
        <f t="shared" si="2"/>
        <v>0</v>
      </c>
      <c r="F57" s="439"/>
      <c r="G57" s="405"/>
      <c r="H57" s="405"/>
      <c r="I57" s="405"/>
      <c r="J57" s="405"/>
      <c r="K57" s="405"/>
      <c r="L57" s="405"/>
    </row>
    <row r="58" spans="1:12" ht="12" customHeight="1">
      <c r="A58" s="405"/>
      <c r="B58" s="449" t="s">
        <v>661</v>
      </c>
      <c r="C58" s="342">
        <f>(C4+C5+C6)*C2</f>
        <v>4</v>
      </c>
      <c r="D58" s="551"/>
      <c r="E58" s="552">
        <f t="shared" si="2"/>
        <v>0</v>
      </c>
      <c r="F58" s="439"/>
      <c r="G58" s="405"/>
      <c r="H58" s="405"/>
      <c r="I58" s="405"/>
      <c r="J58" s="405"/>
      <c r="K58" s="405"/>
      <c r="L58" s="405"/>
    </row>
    <row r="59" spans="1:12" ht="12" customHeight="1">
      <c r="A59" s="405"/>
      <c r="B59" s="449" t="s">
        <v>662</v>
      </c>
      <c r="C59" s="342">
        <f>(C4+C5+C6)*C2</f>
        <v>4</v>
      </c>
      <c r="D59" s="551"/>
      <c r="E59" s="552">
        <f t="shared" si="2"/>
        <v>0</v>
      </c>
      <c r="F59" s="439"/>
      <c r="G59" s="405"/>
      <c r="H59" s="405"/>
      <c r="I59" s="405"/>
      <c r="J59" s="405"/>
      <c r="K59" s="405"/>
      <c r="L59" s="405"/>
    </row>
    <row r="60" spans="1:12" ht="12" customHeight="1">
      <c r="A60" s="405"/>
      <c r="B60" s="451" t="s">
        <v>647</v>
      </c>
      <c r="C60" s="347">
        <f>IF(C21=0,C4+C5+C6,0)</f>
        <v>1</v>
      </c>
      <c r="D60" s="551"/>
      <c r="E60" s="552">
        <f t="shared" si="2"/>
        <v>0</v>
      </c>
      <c r="F60" s="439"/>
      <c r="G60" s="405"/>
      <c r="H60" s="405"/>
      <c r="I60" s="405"/>
      <c r="J60" s="405"/>
      <c r="K60" s="405"/>
      <c r="L60" s="405"/>
    </row>
    <row r="61" spans="1:12" ht="12" customHeight="1">
      <c r="A61" s="405"/>
      <c r="B61" s="451" t="s">
        <v>726</v>
      </c>
      <c r="C61" s="347">
        <f>IF(C16=1,(C4+C5+C6)*2,0)</f>
        <v>0</v>
      </c>
      <c r="D61" s="551"/>
      <c r="E61" s="552">
        <f t="shared" si="2"/>
        <v>0</v>
      </c>
      <c r="F61" s="439"/>
      <c r="G61" s="405"/>
      <c r="H61" s="405"/>
      <c r="I61" s="405"/>
      <c r="J61" s="405"/>
      <c r="K61" s="405"/>
      <c r="L61" s="405"/>
    </row>
    <row r="62" spans="1:12" ht="12" customHeight="1">
      <c r="A62" s="405"/>
      <c r="B62" s="451" t="s">
        <v>726</v>
      </c>
      <c r="C62" s="347">
        <f>(C4+C5+C6)*4</f>
        <v>4</v>
      </c>
      <c r="D62" s="551"/>
      <c r="E62" s="552">
        <f t="shared" si="2"/>
        <v>0</v>
      </c>
      <c r="F62" s="439"/>
      <c r="G62" s="405"/>
      <c r="H62" s="405"/>
      <c r="I62" s="405"/>
      <c r="J62" s="405"/>
      <c r="K62" s="405"/>
      <c r="L62" s="405"/>
    </row>
    <row r="63" spans="1:12" ht="12" customHeight="1">
      <c r="A63" s="405"/>
      <c r="B63" s="525" t="s">
        <v>538</v>
      </c>
      <c r="C63" s="347">
        <f>IF(C7=1,(C4+C5+C6)*2,0)</f>
        <v>0</v>
      </c>
      <c r="D63" s="551"/>
      <c r="E63" s="552">
        <f t="shared" si="2"/>
        <v>0</v>
      </c>
      <c r="F63" s="439"/>
      <c r="G63" s="405"/>
      <c r="H63" s="405"/>
      <c r="I63" s="405"/>
      <c r="J63" s="405"/>
      <c r="K63" s="405"/>
      <c r="L63" s="405"/>
    </row>
    <row r="64" spans="1:12" ht="12" customHeight="1">
      <c r="A64" s="405"/>
      <c r="B64" s="635" t="s">
        <v>663</v>
      </c>
      <c r="C64" s="399">
        <f>IF(AND(C8=0,C7=1),(C4+C5+C6)*2,0)</f>
        <v>0</v>
      </c>
      <c r="D64" s="554"/>
      <c r="E64" s="552">
        <f t="shared" si="2"/>
        <v>0</v>
      </c>
      <c r="F64" s="439"/>
      <c r="G64" s="405"/>
      <c r="H64" s="405"/>
      <c r="I64" s="405"/>
      <c r="J64" s="405"/>
      <c r="K64" s="405"/>
      <c r="L64" s="405"/>
    </row>
    <row r="65" spans="1:12" ht="12" customHeight="1">
      <c r="A65" s="405"/>
      <c r="B65" s="635" t="s">
        <v>664</v>
      </c>
      <c r="C65" s="399">
        <f>C7*2*(C4+C5+C6)</f>
        <v>0</v>
      </c>
      <c r="D65" s="554"/>
      <c r="E65" s="552">
        <f t="shared" si="2"/>
        <v>0</v>
      </c>
      <c r="F65" s="439"/>
      <c r="G65" s="405"/>
      <c r="H65" s="405"/>
      <c r="I65" s="405"/>
      <c r="J65" s="405"/>
      <c r="K65" s="405"/>
      <c r="L65" s="405"/>
    </row>
    <row r="66" spans="1:12" ht="12" customHeight="1">
      <c r="A66" s="405"/>
      <c r="B66" s="635" t="s">
        <v>665</v>
      </c>
      <c r="C66" s="399">
        <f>IF(AND(C7=1,C8=1),(C4+C5+C6)*2,0)</f>
        <v>0</v>
      </c>
      <c r="D66" s="554"/>
      <c r="E66" s="552">
        <f t="shared" si="2"/>
        <v>0</v>
      </c>
      <c r="F66" s="439"/>
      <c r="G66" s="405"/>
      <c r="H66" s="405"/>
      <c r="I66" s="405"/>
      <c r="J66" s="405"/>
      <c r="K66" s="405"/>
      <c r="L66" s="405"/>
    </row>
    <row r="67" spans="1:12" ht="12" customHeight="1">
      <c r="A67" s="405"/>
      <c r="B67" s="635" t="s">
        <v>465</v>
      </c>
      <c r="C67" s="399">
        <f>C7*2*(C4+C5+C6)</f>
        <v>0</v>
      </c>
      <c r="D67" s="554"/>
      <c r="E67" s="552">
        <f t="shared" si="2"/>
        <v>0</v>
      </c>
      <c r="F67" s="439"/>
      <c r="G67" s="405"/>
      <c r="H67" s="405"/>
      <c r="I67" s="405"/>
      <c r="J67" s="405"/>
      <c r="K67" s="405"/>
      <c r="L67" s="405"/>
    </row>
    <row r="68" spans="1:12" ht="12" customHeight="1">
      <c r="A68" s="405"/>
      <c r="B68" s="635" t="s">
        <v>483</v>
      </c>
      <c r="C68" s="399">
        <f>C2*(C4+C5+C6)</f>
        <v>4</v>
      </c>
      <c r="D68" s="554"/>
      <c r="E68" s="552">
        <f t="shared" si="2"/>
        <v>0</v>
      </c>
      <c r="F68" s="439"/>
      <c r="G68" s="405"/>
      <c r="H68" s="405"/>
      <c r="I68" s="405"/>
      <c r="J68" s="405"/>
      <c r="K68" s="405"/>
      <c r="L68" s="405"/>
    </row>
    <row r="69" spans="1:12" ht="12" customHeight="1">
      <c r="A69" s="405"/>
      <c r="B69" s="635" t="s">
        <v>483</v>
      </c>
      <c r="C69" s="399">
        <f>IF(C8=1,C2*(C4+C5+C6),0)</f>
        <v>0</v>
      </c>
      <c r="D69" s="554"/>
      <c r="E69" s="552">
        <f t="shared" si="2"/>
        <v>0</v>
      </c>
      <c r="F69" s="439"/>
      <c r="G69" s="405"/>
      <c r="H69" s="405"/>
      <c r="I69" s="405"/>
      <c r="J69" s="405"/>
      <c r="K69" s="405"/>
      <c r="L69" s="405"/>
    </row>
    <row r="70" spans="1:12" ht="12" customHeight="1">
      <c r="A70" s="405"/>
      <c r="B70" s="635" t="s">
        <v>482</v>
      </c>
      <c r="C70" s="399">
        <f>IF(C7=1,C3*4*(C4+C5+C6),0)</f>
        <v>0</v>
      </c>
      <c r="D70" s="554"/>
      <c r="E70" s="552">
        <f t="shared" si="2"/>
        <v>0</v>
      </c>
      <c r="F70" s="439"/>
      <c r="G70" s="405"/>
      <c r="H70" s="405"/>
      <c r="I70" s="405"/>
      <c r="J70" s="405"/>
      <c r="K70" s="405"/>
      <c r="L70" s="405"/>
    </row>
    <row r="71" spans="1:12" ht="12" customHeight="1">
      <c r="A71" s="405"/>
      <c r="B71" s="452" t="s">
        <v>378</v>
      </c>
      <c r="C71" s="354">
        <f>C9*C4</f>
        <v>0</v>
      </c>
      <c r="D71" s="553"/>
      <c r="E71" s="552">
        <f t="shared" si="2"/>
        <v>0</v>
      </c>
      <c r="F71" s="439"/>
      <c r="G71" s="405"/>
      <c r="H71" s="405"/>
      <c r="I71" s="405"/>
      <c r="J71" s="405"/>
      <c r="K71" s="405"/>
      <c r="L71" s="405"/>
    </row>
    <row r="72" spans="1:12" ht="12" customHeight="1">
      <c r="A72" s="405"/>
      <c r="B72" s="452" t="s">
        <v>598</v>
      </c>
      <c r="C72" s="354">
        <f>C12*C4</f>
        <v>0</v>
      </c>
      <c r="D72" s="553"/>
      <c r="E72" s="552">
        <f t="shared" si="2"/>
        <v>0</v>
      </c>
      <c r="F72" s="439"/>
      <c r="G72" s="405"/>
      <c r="H72" s="405"/>
      <c r="I72" s="405"/>
      <c r="J72" s="405"/>
      <c r="K72" s="405"/>
      <c r="L72" s="405"/>
    </row>
    <row r="73" spans="1:12" ht="12" customHeight="1">
      <c r="A73" s="405"/>
      <c r="B73" s="452" t="s">
        <v>436</v>
      </c>
      <c r="C73" s="354">
        <f>C10*C5</f>
        <v>0</v>
      </c>
      <c r="D73" s="553"/>
      <c r="E73" s="552">
        <f t="shared" si="2"/>
        <v>0</v>
      </c>
      <c r="F73" s="439"/>
      <c r="G73" s="405"/>
      <c r="H73" s="405"/>
      <c r="I73" s="405"/>
      <c r="J73" s="405"/>
      <c r="K73" s="405"/>
      <c r="L73" s="405"/>
    </row>
    <row r="74" spans="1:12" ht="12" customHeight="1">
      <c r="A74" s="405"/>
      <c r="B74" s="452" t="s">
        <v>602</v>
      </c>
      <c r="C74" s="354">
        <f>C6*C11</f>
        <v>1</v>
      </c>
      <c r="D74" s="348"/>
      <c r="E74" s="344">
        <f t="shared" si="2"/>
        <v>0</v>
      </c>
      <c r="F74" s="439"/>
      <c r="G74" s="405"/>
      <c r="H74" s="405"/>
      <c r="I74" s="405"/>
      <c r="J74" s="405"/>
      <c r="K74" s="405"/>
      <c r="L74" s="405"/>
    </row>
    <row r="75" spans="1:12" ht="12" customHeight="1">
      <c r="A75" s="405"/>
      <c r="B75" s="452" t="s">
        <v>603</v>
      </c>
      <c r="C75" s="354">
        <f>C6*C14</f>
        <v>0</v>
      </c>
      <c r="D75" s="348"/>
      <c r="E75" s="344">
        <f t="shared" si="2"/>
        <v>0</v>
      </c>
      <c r="F75" s="439"/>
      <c r="G75" s="405"/>
      <c r="H75" s="405"/>
      <c r="I75" s="405"/>
      <c r="J75" s="405"/>
      <c r="K75" s="405"/>
      <c r="L75" s="405"/>
    </row>
    <row r="76" spans="1:12" ht="12" customHeight="1">
      <c r="A76" s="405"/>
      <c r="B76" s="452" t="s">
        <v>599</v>
      </c>
      <c r="C76" s="354">
        <f>C13*C5</f>
        <v>0</v>
      </c>
      <c r="D76" s="553"/>
      <c r="E76" s="552">
        <f t="shared" si="2"/>
        <v>0</v>
      </c>
      <c r="F76" s="439"/>
      <c r="G76" s="405"/>
      <c r="H76" s="405"/>
      <c r="I76" s="405"/>
      <c r="J76" s="405"/>
      <c r="K76" s="405"/>
      <c r="L76" s="405"/>
    </row>
    <row r="77" spans="1:12" ht="12" customHeight="1">
      <c r="A77" s="405"/>
      <c r="B77" s="451" t="s">
        <v>425</v>
      </c>
      <c r="C77" s="354">
        <f>IF(C16&gt;0,C16*C3*2*(C4+C5+C6)+0.3,0)</f>
        <v>0</v>
      </c>
      <c r="D77" s="553"/>
      <c r="E77" s="552">
        <f t="shared" si="2"/>
        <v>0</v>
      </c>
      <c r="F77" s="439"/>
      <c r="G77" s="405"/>
      <c r="H77" s="405"/>
      <c r="I77" s="405"/>
      <c r="J77" s="405"/>
      <c r="K77" s="405"/>
      <c r="L77" s="405"/>
    </row>
    <row r="78" spans="1:12" ht="12" customHeight="1">
      <c r="A78" s="405"/>
      <c r="B78" s="451" t="s">
        <v>426</v>
      </c>
      <c r="C78" s="354">
        <f>IF(C16=1,C16*2*(C4+C5+C6),0)</f>
        <v>0</v>
      </c>
      <c r="D78" s="553"/>
      <c r="E78" s="552">
        <f t="shared" si="2"/>
        <v>0</v>
      </c>
      <c r="F78" s="439"/>
      <c r="G78" s="405"/>
      <c r="H78" s="405"/>
      <c r="I78" s="405"/>
      <c r="J78" s="405"/>
      <c r="K78" s="405"/>
      <c r="L78" s="405"/>
    </row>
    <row r="79" spans="1:12" ht="12" customHeight="1">
      <c r="A79" s="405"/>
      <c r="B79" s="451" t="s">
        <v>427</v>
      </c>
      <c r="C79" s="354">
        <f>C16*2*(C4+C5+C6)</f>
        <v>0</v>
      </c>
      <c r="D79" s="553"/>
      <c r="E79" s="552">
        <f t="shared" si="2"/>
        <v>0</v>
      </c>
      <c r="F79" s="439"/>
      <c r="G79" s="405"/>
      <c r="H79" s="405"/>
      <c r="I79" s="405"/>
      <c r="J79" s="405"/>
      <c r="K79" s="405"/>
      <c r="L79" s="405"/>
    </row>
    <row r="80" spans="1:12" ht="12" customHeight="1">
      <c r="A80" s="405"/>
      <c r="B80" s="451" t="s">
        <v>428</v>
      </c>
      <c r="C80" s="354">
        <f>C16*2*(C4+C5+C6)</f>
        <v>0</v>
      </c>
      <c r="D80" s="553"/>
      <c r="E80" s="552">
        <f t="shared" si="2"/>
        <v>0</v>
      </c>
      <c r="F80" s="453"/>
      <c r="G80" s="405"/>
      <c r="H80" s="405"/>
      <c r="I80" s="405"/>
      <c r="J80" s="405"/>
      <c r="K80" s="405"/>
      <c r="L80" s="405"/>
    </row>
    <row r="81" spans="1:12" ht="12" customHeight="1">
      <c r="A81" s="405"/>
      <c r="B81" s="525" t="s">
        <v>145</v>
      </c>
      <c r="C81" s="506">
        <f>C23</f>
        <v>0</v>
      </c>
      <c r="D81" s="522"/>
      <c r="E81" s="400">
        <f t="shared" si="2"/>
        <v>0</v>
      </c>
      <c r="F81" s="453"/>
      <c r="G81" s="405"/>
      <c r="H81" s="405"/>
      <c r="I81" s="405"/>
      <c r="J81" s="405"/>
      <c r="K81" s="405"/>
      <c r="L81" s="405"/>
    </row>
    <row r="82" spans="1:12" ht="12" customHeight="1">
      <c r="A82" s="405"/>
      <c r="B82" s="451" t="s">
        <v>148</v>
      </c>
      <c r="C82" s="347">
        <f>C22</f>
        <v>1</v>
      </c>
      <c r="D82" s="353"/>
      <c r="E82" s="344">
        <f t="shared" si="2"/>
        <v>0</v>
      </c>
      <c r="F82" s="453"/>
      <c r="G82" s="405"/>
      <c r="H82" s="405"/>
      <c r="I82" s="405"/>
      <c r="J82" s="405"/>
      <c r="K82" s="405"/>
      <c r="L82" s="405"/>
    </row>
    <row r="83" spans="1:12" ht="12" customHeight="1" thickBot="1">
      <c r="A83" s="405"/>
      <c r="B83" s="526" t="s">
        <v>429</v>
      </c>
      <c r="C83" s="402">
        <f>C16*2*(C4+C5+C6)</f>
        <v>0</v>
      </c>
      <c r="D83" s="555"/>
      <c r="E83" s="556">
        <f t="shared" si="2"/>
        <v>0</v>
      </c>
      <c r="F83" s="439"/>
      <c r="G83" s="405"/>
      <c r="H83" s="405"/>
      <c r="I83" s="405"/>
      <c r="J83" s="405"/>
      <c r="K83" s="405"/>
      <c r="L83" s="405"/>
    </row>
    <row r="84" spans="1:12" ht="12" customHeight="1" thickBot="1">
      <c r="A84" s="405"/>
      <c r="B84" s="439"/>
      <c r="C84" s="439"/>
      <c r="D84" s="455" t="s">
        <v>9</v>
      </c>
      <c r="E84" s="527">
        <f>SUMIF(E26:E83,"&gt;0",E26:E83)</f>
        <v>1</v>
      </c>
      <c r="F84" s="439"/>
      <c r="G84" s="405"/>
      <c r="H84" s="405"/>
      <c r="I84" s="405"/>
      <c r="J84" s="405"/>
      <c r="K84" s="405"/>
      <c r="L84" s="405"/>
    </row>
    <row r="85" spans="1:12" ht="12" customHeight="1">
      <c r="A85" s="405"/>
      <c r="B85" s="439"/>
      <c r="C85" s="439"/>
      <c r="D85" s="439"/>
      <c r="E85" s="439"/>
      <c r="F85" s="439"/>
      <c r="G85" s="405"/>
      <c r="H85" s="405"/>
      <c r="I85" s="405"/>
      <c r="J85" s="405"/>
      <c r="K85" s="405"/>
      <c r="L85" s="405"/>
    </row>
    <row r="86" spans="1:12" ht="12" customHeight="1">
      <c r="A86" s="405"/>
      <c r="B86" s="439"/>
      <c r="C86" s="439"/>
      <c r="D86" s="439"/>
      <c r="E86" s="439"/>
      <c r="F86" s="439"/>
      <c r="G86" s="405"/>
      <c r="H86" s="405"/>
      <c r="I86" s="405"/>
      <c r="J86" s="405"/>
      <c r="K86" s="405"/>
      <c r="L86" s="405"/>
    </row>
    <row r="87" spans="1:12" ht="12" customHeight="1">
      <c r="A87" s="405"/>
      <c r="B87" s="405"/>
      <c r="C87" s="405"/>
      <c r="D87" s="405"/>
      <c r="E87" s="405"/>
      <c r="F87" s="405"/>
      <c r="G87" s="405"/>
      <c r="H87" s="405"/>
      <c r="I87" s="405"/>
      <c r="J87" s="405"/>
      <c r="K87" s="405"/>
      <c r="L87" s="405"/>
    </row>
    <row r="88" spans="1:12" ht="12" customHeight="1">
      <c r="A88" s="405"/>
      <c r="B88" s="405"/>
      <c r="C88" s="405"/>
      <c r="D88" s="405"/>
      <c r="E88" s="405"/>
      <c r="F88" s="405"/>
      <c r="G88" s="405"/>
      <c r="H88" s="405"/>
      <c r="I88" s="405"/>
      <c r="J88" s="405"/>
      <c r="K88" s="405"/>
      <c r="L88" s="405"/>
    </row>
    <row r="89" spans="1:12" ht="12" customHeight="1">
      <c r="A89" s="405"/>
      <c r="B89" s="405"/>
      <c r="C89" s="405"/>
      <c r="D89" s="405"/>
      <c r="E89" s="405"/>
      <c r="F89" s="405"/>
      <c r="G89" s="405"/>
      <c r="H89" s="405"/>
      <c r="I89" s="405"/>
      <c r="J89" s="405"/>
      <c r="K89" s="405"/>
      <c r="L89" s="405"/>
    </row>
    <row r="90" spans="1:12" ht="12" customHeight="1">
      <c r="A90" s="405"/>
      <c r="B90" s="405"/>
      <c r="C90" s="405"/>
      <c r="D90" s="405"/>
      <c r="E90" s="405"/>
      <c r="F90" s="405"/>
      <c r="G90" s="405"/>
      <c r="H90" s="405"/>
      <c r="I90" s="405"/>
      <c r="J90" s="405"/>
      <c r="K90" s="405"/>
      <c r="L90" s="405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548" priority="66" operator="greaterThan">
      <formula>0</formula>
    </cfRule>
  </conditionalFormatting>
  <conditionalFormatting sqref="J3:J19">
    <cfRule type="cellIs" dxfId="547" priority="12" operator="greaterThan">
      <formula>0</formula>
    </cfRule>
    <cfRule type="cellIs" dxfId="546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545" priority="33" operator="equal">
      <formula>"ДА"</formula>
    </cfRule>
    <cfRule type="cellIs" dxfId="544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543" priority="30" operator="equal">
      <formula>"ДА"</formula>
    </cfRule>
    <cfRule type="cellIs" dxfId="542" priority="31" operator="equal">
      <formula>"НЕТ"</formula>
    </cfRule>
  </conditionalFormatting>
  <conditionalFormatting sqref="I5">
    <cfRule type="cellIs" dxfId="541" priority="27" operator="equal">
      <formula>"ДА"</formula>
    </cfRule>
    <cfRule type="cellIs" dxfId="540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539" priority="23" operator="equal">
      <formula>"ДА"</formula>
    </cfRule>
    <cfRule type="cellIs" dxfId="538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537" priority="19" operator="equal">
      <formula>"ДА"</formula>
    </cfRule>
    <cfRule type="cellIs" dxfId="536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535" priority="17" operator="equal">
      <formula>"ДА"</formula>
    </cfRule>
    <cfRule type="cellIs" dxfId="534" priority="18" operator="equal">
      <formula>"НЕТ"</formula>
    </cfRule>
  </conditionalFormatting>
  <conditionalFormatting sqref="I19">
    <cfRule type="cellIs" dxfId="533" priority="15" operator="equal">
      <formula>"ДА"</formula>
    </cfRule>
    <cfRule type="cellIs" dxfId="532" priority="16" operator="equal">
      <formula>"НЕТ"</formula>
    </cfRule>
  </conditionalFormatting>
  <conditionalFormatting sqref="K3:K19">
    <cfRule type="cellIs" dxfId="531" priority="14" operator="greaterThan">
      <formula>0</formula>
    </cfRule>
  </conditionalFormatting>
  <conditionalFormatting sqref="C74:E74">
    <cfRule type="cellIs" dxfId="530" priority="11" operator="greaterThan">
      <formula>0</formula>
    </cfRule>
  </conditionalFormatting>
  <conditionalFormatting sqref="C75:E75">
    <cfRule type="cellIs" dxfId="529" priority="10" operator="greaterThan">
      <formula>0</formula>
    </cfRule>
  </conditionalFormatting>
  <conditionalFormatting sqref="I15:I19">
    <cfRule type="cellIs" dxfId="528" priority="9" operator="equal">
      <formula>"НЕТ"</formula>
    </cfRule>
  </conditionalFormatting>
  <conditionalFormatting sqref="I3:I19">
    <cfRule type="cellIs" dxfId="527" priority="5" operator="equal">
      <formula>"НЕТ"</formula>
    </cfRule>
    <cfRule type="cellIs" dxfId="526" priority="8" operator="equal">
      <formula>"ДА"</formula>
    </cfRule>
  </conditionalFormatting>
  <conditionalFormatting sqref="C2:C21">
    <cfRule type="cellIs" dxfId="525" priority="7" operator="greaterThan">
      <formula>0</formula>
    </cfRule>
  </conditionalFormatting>
  <conditionalFormatting sqref="C26:E80 C83:E83">
    <cfRule type="cellIs" dxfId="524" priority="6" operator="greaterThan">
      <formula>0</formula>
    </cfRule>
  </conditionalFormatting>
  <conditionalFormatting sqref="I3:I18">
    <cfRule type="cellIs" dxfId="523" priority="4" operator="equal">
      <formula>"ДА"</formula>
    </cfRule>
  </conditionalFormatting>
  <conditionalFormatting sqref="E84">
    <cfRule type="cellIs" dxfId="522" priority="3" operator="greaterThan">
      <formula>0</formula>
    </cfRule>
  </conditionalFormatting>
  <conditionalFormatting sqref="C22:C23">
    <cfRule type="cellIs" dxfId="521" priority="2" operator="greaterThan">
      <formula>0</formula>
    </cfRule>
  </conditionalFormatting>
  <conditionalFormatting sqref="C81:E82">
    <cfRule type="cellIs" dxfId="52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05"/>
      <c r="B1" s="1273"/>
      <c r="C1" s="1274"/>
      <c r="D1" s="1274"/>
      <c r="E1" s="1274"/>
      <c r="F1" s="405"/>
      <c r="G1" s="405"/>
      <c r="H1" s="405"/>
      <c r="I1" s="405"/>
      <c r="J1" s="405"/>
      <c r="K1" s="405"/>
    </row>
    <row r="2" spans="1:11" ht="12.75" customHeight="1" thickBot="1">
      <c r="A2" s="405"/>
      <c r="B2" s="407" t="s">
        <v>666</v>
      </c>
      <c r="C2" s="458">
        <v>0</v>
      </c>
      <c r="D2" s="1231" t="s">
        <v>595</v>
      </c>
      <c r="E2" s="1232"/>
      <c r="F2" s="1233"/>
      <c r="G2" s="405"/>
      <c r="H2" s="409" t="s">
        <v>485</v>
      </c>
      <c r="I2" s="410" t="s">
        <v>604</v>
      </c>
      <c r="J2" s="476" t="s">
        <v>4</v>
      </c>
      <c r="K2" s="477" t="s">
        <v>8</v>
      </c>
    </row>
    <row r="3" spans="1:11" ht="12.75" thickBot="1">
      <c r="A3" s="405"/>
      <c r="B3" s="412" t="s">
        <v>667</v>
      </c>
      <c r="C3" s="459">
        <v>0</v>
      </c>
      <c r="D3" s="1234"/>
      <c r="E3" s="1235"/>
      <c r="F3" s="1236"/>
      <c r="G3" s="405"/>
      <c r="H3" s="413" t="s">
        <v>372</v>
      </c>
      <c r="I3" s="414" t="str">
        <f>IF(AND($C$6=1,$C$5+$C$7+$C$8=0,$C$9=2),"ДА","НЕТ")</f>
        <v>НЕТ</v>
      </c>
      <c r="J3" s="318"/>
      <c r="K3" s="319">
        <f>IF(I3="ДА",($C$10+$C$11)*J3,0)</f>
        <v>0</v>
      </c>
    </row>
    <row r="4" spans="1:11" ht="12.75" thickBot="1">
      <c r="A4" s="405"/>
      <c r="B4" s="429" t="s">
        <v>127</v>
      </c>
      <c r="C4" s="566">
        <v>0</v>
      </c>
      <c r="D4" s="1277" t="s">
        <v>128</v>
      </c>
      <c r="E4" s="1278"/>
      <c r="F4" s="1279"/>
      <c r="G4" s="405"/>
      <c r="H4" s="416" t="s">
        <v>373</v>
      </c>
      <c r="I4" s="414" t="str">
        <f>IF(AND($C$6=1,$C$5+$C$7+$C$8=0,$C$9=2),"ДА","НЕТ")</f>
        <v>НЕТ</v>
      </c>
      <c r="J4" s="395"/>
      <c r="K4" s="319">
        <f t="shared" ref="K4:K17" si="0">IF(I4="ДА",($C$10+$C$11)*J4,0)</f>
        <v>0</v>
      </c>
    </row>
    <row r="5" spans="1:11" ht="12" customHeight="1">
      <c r="A5" s="405"/>
      <c r="B5" s="407" t="s">
        <v>492</v>
      </c>
      <c r="C5" s="464">
        <v>0</v>
      </c>
      <c r="D5" s="420" t="s">
        <v>287</v>
      </c>
      <c r="E5" s="420" t="s">
        <v>255</v>
      </c>
      <c r="F5" s="1239" t="s">
        <v>597</v>
      </c>
      <c r="G5" s="405"/>
      <c r="H5" s="416" t="s">
        <v>374</v>
      </c>
      <c r="I5" s="414" t="str">
        <f>IF(AND($C$6=1,$C$5+$C$7+$C$8=0,$C$9=2),"ДА","НЕТ")</f>
        <v>НЕТ</v>
      </c>
      <c r="J5" s="395"/>
      <c r="K5" s="319">
        <f t="shared" si="0"/>
        <v>0</v>
      </c>
    </row>
    <row r="6" spans="1:11" ht="12">
      <c r="A6" s="405"/>
      <c r="B6" s="417" t="s">
        <v>490</v>
      </c>
      <c r="C6" s="461">
        <v>0</v>
      </c>
      <c r="D6" s="424" t="s">
        <v>287</v>
      </c>
      <c r="E6" s="424" t="s">
        <v>255</v>
      </c>
      <c r="F6" s="1240"/>
      <c r="G6" s="405"/>
      <c r="H6" s="418" t="s">
        <v>376</v>
      </c>
      <c r="I6" s="414" t="str">
        <f>IF(AND($C$6=1,$C$5+$C$7+$C$8=0,$C$9=3),"ДА","НЕТ")</f>
        <v>НЕТ</v>
      </c>
      <c r="J6" s="322"/>
      <c r="K6" s="319">
        <f t="shared" si="0"/>
        <v>0</v>
      </c>
    </row>
    <row r="7" spans="1:11" ht="12">
      <c r="A7" s="405"/>
      <c r="B7" s="417" t="s">
        <v>493</v>
      </c>
      <c r="C7" s="461">
        <v>0</v>
      </c>
      <c r="D7" s="424" t="s">
        <v>287</v>
      </c>
      <c r="E7" s="424" t="s">
        <v>255</v>
      </c>
      <c r="F7" s="1240"/>
      <c r="G7" s="405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</row>
    <row r="8" spans="1:11" ht="12.75" thickBot="1">
      <c r="A8" s="405"/>
      <c r="B8" s="514" t="s">
        <v>491</v>
      </c>
      <c r="C8" s="513">
        <v>0</v>
      </c>
      <c r="D8" s="626" t="s">
        <v>287</v>
      </c>
      <c r="E8" s="516" t="s">
        <v>255</v>
      </c>
      <c r="F8" s="1241"/>
      <c r="G8" s="405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</row>
    <row r="9" spans="1:11" ht="12.75" thickBot="1">
      <c r="A9" s="405"/>
      <c r="B9" s="429" t="s">
        <v>589</v>
      </c>
      <c r="C9" s="548">
        <v>0</v>
      </c>
      <c r="D9" s="433" t="s">
        <v>619</v>
      </c>
      <c r="E9" s="434" t="s">
        <v>620</v>
      </c>
      <c r="F9" s="436" t="s">
        <v>621</v>
      </c>
      <c r="G9" s="405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</row>
    <row r="10" spans="1:11" ht="12" customHeight="1">
      <c r="A10" s="405"/>
      <c r="B10" s="419" t="s">
        <v>670</v>
      </c>
      <c r="C10" s="567">
        <v>0</v>
      </c>
      <c r="D10" s="1280" t="s">
        <v>597</v>
      </c>
      <c r="E10" s="1281"/>
      <c r="F10" s="1282"/>
      <c r="G10" s="405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</row>
    <row r="11" spans="1:11" ht="12.75" thickBot="1">
      <c r="A11" s="405"/>
      <c r="B11" s="514" t="s">
        <v>671</v>
      </c>
      <c r="C11" s="568">
        <v>0</v>
      </c>
      <c r="D11" s="1283"/>
      <c r="E11" s="1284"/>
      <c r="F11" s="1285"/>
      <c r="G11" s="405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</row>
    <row r="12" spans="1:11" ht="12.75" thickBot="1">
      <c r="A12" s="405"/>
      <c r="B12" s="429" t="s">
        <v>543</v>
      </c>
      <c r="C12" s="566">
        <v>0</v>
      </c>
      <c r="D12" s="433" t="s">
        <v>287</v>
      </c>
      <c r="E12" s="434" t="s">
        <v>255</v>
      </c>
      <c r="F12" s="1271"/>
      <c r="G12" s="405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</row>
    <row r="13" spans="1:11" ht="12.75" thickBot="1">
      <c r="A13" s="405"/>
      <c r="B13" s="429" t="s">
        <v>358</v>
      </c>
      <c r="C13" s="465">
        <v>0</v>
      </c>
      <c r="D13" s="433" t="s">
        <v>359</v>
      </c>
      <c r="E13" s="434" t="s">
        <v>360</v>
      </c>
      <c r="F13" s="1272"/>
      <c r="G13" s="405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</row>
    <row r="14" spans="1:11" ht="12" customHeight="1">
      <c r="A14" s="405"/>
      <c r="B14" s="419" t="s">
        <v>361</v>
      </c>
      <c r="C14" s="462">
        <v>0</v>
      </c>
      <c r="D14" s="420" t="s">
        <v>287</v>
      </c>
      <c r="E14" s="421" t="s">
        <v>255</v>
      </c>
      <c r="F14" s="1239" t="s">
        <v>597</v>
      </c>
      <c r="G14" s="405"/>
      <c r="H14" s="413" t="s">
        <v>383</v>
      </c>
      <c r="I14" s="414" t="str">
        <f>IF(AND($C$7=1,$C$6+$C$8+$C$5=0,$C$9=1),"ДА","НЕТ")</f>
        <v>НЕТ</v>
      </c>
      <c r="J14" s="325"/>
      <c r="K14" s="319">
        <f t="shared" si="0"/>
        <v>0</v>
      </c>
    </row>
    <row r="15" spans="1:11" ht="12">
      <c r="A15" s="405"/>
      <c r="B15" s="417" t="s">
        <v>362</v>
      </c>
      <c r="C15" s="461">
        <v>0</v>
      </c>
      <c r="D15" s="424" t="s">
        <v>287</v>
      </c>
      <c r="E15" s="425" t="s">
        <v>255</v>
      </c>
      <c r="F15" s="1240"/>
      <c r="G15" s="405"/>
      <c r="H15" s="416" t="s">
        <v>384</v>
      </c>
      <c r="I15" s="414" t="str">
        <f>IF(AND($C$7=1,$C$6+$C$8+$C$5=0,$C$9=1),"ДА","НЕТ")</f>
        <v>НЕТ</v>
      </c>
      <c r="J15" s="325"/>
      <c r="K15" s="319">
        <f t="shared" si="0"/>
        <v>0</v>
      </c>
    </row>
    <row r="16" spans="1:11" ht="12">
      <c r="A16" s="405"/>
      <c r="B16" s="417" t="s">
        <v>467</v>
      </c>
      <c r="C16" s="461">
        <v>0</v>
      </c>
      <c r="D16" s="424" t="s">
        <v>287</v>
      </c>
      <c r="E16" s="425" t="s">
        <v>255</v>
      </c>
      <c r="F16" s="1240"/>
      <c r="G16" s="405"/>
      <c r="H16" s="413" t="s">
        <v>388</v>
      </c>
      <c r="I16" s="414" t="str">
        <f>IF(AND($C$7=1,$C$6+$C$8+$C$5=0,$C$9=2),"ДА","НЕТ")</f>
        <v>НЕТ</v>
      </c>
      <c r="J16" s="325"/>
      <c r="K16" s="319">
        <f t="shared" si="0"/>
        <v>0</v>
      </c>
    </row>
    <row r="17" spans="1:11" ht="12.75" thickBot="1">
      <c r="A17" s="405"/>
      <c r="B17" s="490" t="s">
        <v>466</v>
      </c>
      <c r="C17" s="472">
        <v>0</v>
      </c>
      <c r="D17" s="626" t="s">
        <v>287</v>
      </c>
      <c r="E17" s="516" t="s">
        <v>255</v>
      </c>
      <c r="F17" s="1241"/>
      <c r="G17" s="405"/>
      <c r="H17" s="437" t="s">
        <v>389</v>
      </c>
      <c r="I17" s="438" t="str">
        <f>IF(AND($C$7=1,$C$6+$C$8+$C$5=0,$C$9=2),"ДА","НЕТ")</f>
        <v>НЕТ</v>
      </c>
      <c r="J17" s="332"/>
      <c r="K17" s="475">
        <f t="shared" si="0"/>
        <v>0</v>
      </c>
    </row>
    <row r="18" spans="1:11" ht="12.75" thickBot="1">
      <c r="A18" s="405"/>
      <c r="B18" s="636" t="s">
        <v>502</v>
      </c>
      <c r="C18" s="566">
        <v>0</v>
      </c>
      <c r="D18" s="1275" t="s">
        <v>540</v>
      </c>
      <c r="E18" s="1276"/>
      <c r="F18" s="637"/>
      <c r="G18" s="405"/>
      <c r="H18" s="564"/>
      <c r="I18" s="565"/>
      <c r="J18" s="638"/>
      <c r="K18" s="337"/>
    </row>
    <row r="19" spans="1:11" ht="12">
      <c r="A19" s="405"/>
      <c r="B19" s="407" t="s">
        <v>147</v>
      </c>
      <c r="C19" s="464">
        <v>0</v>
      </c>
      <c r="D19" s="1242" t="s">
        <v>686</v>
      </c>
      <c r="E19" s="1243"/>
      <c r="F19" s="1244"/>
      <c r="G19" s="405"/>
      <c r="H19" s="564"/>
      <c r="I19" s="565"/>
      <c r="J19" s="638"/>
      <c r="K19" s="337"/>
    </row>
    <row r="20" spans="1:11" ht="12">
      <c r="A20" s="405"/>
      <c r="B20" s="417" t="s">
        <v>146</v>
      </c>
      <c r="C20" s="461">
        <v>0</v>
      </c>
      <c r="D20" s="1245" t="s">
        <v>687</v>
      </c>
      <c r="E20" s="1246"/>
      <c r="F20" s="1247"/>
      <c r="G20" s="405"/>
      <c r="H20" s="564"/>
      <c r="I20" s="565"/>
      <c r="J20" s="638"/>
      <c r="K20" s="337"/>
    </row>
    <row r="21" spans="1:11" ht="12.75" thickBot="1">
      <c r="A21" s="405"/>
      <c r="B21" s="412" t="s">
        <v>143</v>
      </c>
      <c r="C21" s="463">
        <v>0</v>
      </c>
      <c r="D21" s="1248" t="s">
        <v>688</v>
      </c>
      <c r="E21" s="1249"/>
      <c r="F21" s="1250"/>
      <c r="G21" s="405"/>
      <c r="H21" s="564"/>
      <c r="I21" s="565"/>
      <c r="J21" s="638"/>
      <c r="K21" s="337"/>
    </row>
    <row r="22" spans="1:11" ht="12" thickBot="1">
      <c r="A22" s="405"/>
      <c r="B22" s="639"/>
      <c r="C22" s="604"/>
      <c r="D22" s="435"/>
      <c r="E22" s="435"/>
      <c r="F22" s="441"/>
      <c r="G22" s="405"/>
      <c r="H22" s="640"/>
      <c r="I22" s="640"/>
      <c r="J22" s="640"/>
      <c r="K22" s="640"/>
    </row>
    <row r="23" spans="1:11" ht="12.75">
      <c r="A23" s="405"/>
      <c r="B23" s="444" t="s">
        <v>5</v>
      </c>
      <c r="C23" s="445" t="s">
        <v>0</v>
      </c>
      <c r="D23" s="446" t="s">
        <v>4</v>
      </c>
      <c r="E23" s="447" t="s">
        <v>8</v>
      </c>
      <c r="F23" s="439"/>
      <c r="G23" s="405"/>
      <c r="H23" s="405"/>
      <c r="I23" s="405"/>
      <c r="J23" s="405"/>
      <c r="K23" s="405"/>
    </row>
    <row r="24" spans="1:11">
      <c r="A24" s="405"/>
      <c r="B24" s="449" t="s">
        <v>605</v>
      </c>
      <c r="C24" s="342">
        <f>IF(C17=1,C4*(C10+C11),0)</f>
        <v>0</v>
      </c>
      <c r="D24" s="396"/>
      <c r="E24" s="323">
        <f>C24*D24</f>
        <v>0</v>
      </c>
      <c r="F24" s="439"/>
      <c r="G24" s="405"/>
      <c r="H24" s="405"/>
      <c r="I24" s="405"/>
      <c r="J24" s="405"/>
      <c r="K24" s="405"/>
    </row>
    <row r="25" spans="1:11">
      <c r="A25" s="405"/>
      <c r="B25" s="449" t="s">
        <v>672</v>
      </c>
      <c r="C25" s="342">
        <f>IF(C16=1,C4*(C10+C11),0)</f>
        <v>0</v>
      </c>
      <c r="D25" s="396"/>
      <c r="E25" s="323">
        <f t="shared" ref="E25:E69" si="1">C25*D25</f>
        <v>0</v>
      </c>
      <c r="F25" s="439"/>
      <c r="G25" s="405"/>
      <c r="H25" s="405"/>
      <c r="I25" s="405"/>
      <c r="J25" s="405"/>
      <c r="K25" s="405"/>
    </row>
    <row r="26" spans="1:11">
      <c r="A26" s="405"/>
      <c r="B26" s="449" t="s">
        <v>411</v>
      </c>
      <c r="C26" s="342">
        <f>(C14+C15)*C4*(C10+C11)*2</f>
        <v>0</v>
      </c>
      <c r="D26" s="396"/>
      <c r="E26" s="323">
        <f t="shared" si="1"/>
        <v>0</v>
      </c>
      <c r="F26" s="439"/>
      <c r="G26" s="405"/>
      <c r="H26" s="405"/>
      <c r="I26" s="405"/>
      <c r="J26" s="405"/>
      <c r="K26" s="405"/>
    </row>
    <row r="27" spans="1:11">
      <c r="A27" s="405"/>
      <c r="B27" s="451" t="s">
        <v>447</v>
      </c>
      <c r="C27" s="347">
        <f>IF(C13=0,(C10+C11)*2,0)</f>
        <v>0</v>
      </c>
      <c r="D27" s="353"/>
      <c r="E27" s="569">
        <f t="shared" si="1"/>
        <v>0</v>
      </c>
      <c r="F27" s="439"/>
      <c r="G27" s="405"/>
      <c r="H27" s="405"/>
      <c r="I27" s="405"/>
      <c r="J27" s="405"/>
      <c r="K27" s="405"/>
    </row>
    <row r="28" spans="1:11">
      <c r="A28" s="405"/>
      <c r="B28" s="451" t="s">
        <v>524</v>
      </c>
      <c r="C28" s="347">
        <f>IF(C13=1,(C10+C11)*2,0)</f>
        <v>0</v>
      </c>
      <c r="D28" s="353"/>
      <c r="E28" s="569">
        <f t="shared" si="1"/>
        <v>0</v>
      </c>
      <c r="F28" s="439"/>
      <c r="G28" s="405"/>
      <c r="H28" s="405"/>
      <c r="I28" s="405"/>
      <c r="J28" s="405"/>
      <c r="K28" s="405"/>
    </row>
    <row r="29" spans="1:11">
      <c r="A29" s="405"/>
      <c r="B29" s="451" t="s">
        <v>503</v>
      </c>
      <c r="C29" s="347">
        <f>IF(C13=0,(C4-1+C18)*(C10+C11),0)</f>
        <v>0</v>
      </c>
      <c r="D29" s="353"/>
      <c r="E29" s="569">
        <f t="shared" si="1"/>
        <v>0</v>
      </c>
      <c r="F29" s="439"/>
      <c r="G29" s="405"/>
      <c r="H29" s="405"/>
      <c r="I29" s="405"/>
      <c r="J29" s="405"/>
      <c r="K29" s="405"/>
    </row>
    <row r="30" spans="1:11">
      <c r="A30" s="405"/>
      <c r="B30" s="451" t="s">
        <v>542</v>
      </c>
      <c r="C30" s="347">
        <f>IF(C13=1,(C4-1+C18)*(C10+C11),0)</f>
        <v>0</v>
      </c>
      <c r="D30" s="353"/>
      <c r="E30" s="569">
        <f t="shared" si="1"/>
        <v>0</v>
      </c>
      <c r="F30" s="439"/>
      <c r="G30" s="405"/>
      <c r="H30" s="405"/>
      <c r="I30" s="405"/>
      <c r="J30" s="405"/>
      <c r="K30" s="405"/>
    </row>
    <row r="31" spans="1:11">
      <c r="A31" s="405"/>
      <c r="B31" s="451" t="s">
        <v>607</v>
      </c>
      <c r="C31" s="347">
        <f>IF(AND(C12=0,C13=0),(C10+C11)*2,0)</f>
        <v>0</v>
      </c>
      <c r="D31" s="353"/>
      <c r="E31" s="569">
        <f t="shared" si="1"/>
        <v>0</v>
      </c>
      <c r="F31" s="439"/>
      <c r="G31" s="405"/>
      <c r="H31" s="405"/>
      <c r="I31" s="405"/>
      <c r="J31" s="405"/>
      <c r="K31" s="405"/>
    </row>
    <row r="32" spans="1:11">
      <c r="A32" s="405"/>
      <c r="B32" s="451" t="s">
        <v>609</v>
      </c>
      <c r="C32" s="347">
        <f>IF(AND(C12=0,C13=1),(C10+C11)*2,0)</f>
        <v>0</v>
      </c>
      <c r="D32" s="353"/>
      <c r="E32" s="569">
        <f t="shared" si="1"/>
        <v>0</v>
      </c>
      <c r="F32" s="439"/>
      <c r="G32" s="405"/>
      <c r="H32" s="405"/>
      <c r="I32" s="405"/>
      <c r="J32" s="405"/>
      <c r="K32" s="405"/>
    </row>
    <row r="33" spans="1:11">
      <c r="A33" s="405"/>
      <c r="B33" s="451" t="s">
        <v>609</v>
      </c>
      <c r="C33" s="347">
        <f>IF(AND(C12=1,C13=0),(C10+C11)*2,0)</f>
        <v>0</v>
      </c>
      <c r="D33" s="353"/>
      <c r="E33" s="569">
        <f t="shared" si="1"/>
        <v>0</v>
      </c>
      <c r="F33" s="439"/>
      <c r="G33" s="405"/>
      <c r="H33" s="405"/>
      <c r="I33" s="405"/>
      <c r="J33" s="405"/>
      <c r="K33" s="405"/>
    </row>
    <row r="34" spans="1:11">
      <c r="A34" s="405"/>
      <c r="B34" s="451" t="s">
        <v>614</v>
      </c>
      <c r="C34" s="347">
        <f>IF(AND(C12=1,C13=1),(C10+C11)*2,0)</f>
        <v>0</v>
      </c>
      <c r="D34" s="353"/>
      <c r="E34" s="569">
        <f t="shared" si="1"/>
        <v>0</v>
      </c>
      <c r="F34" s="439"/>
      <c r="G34" s="405"/>
      <c r="H34" s="405"/>
      <c r="I34" s="405"/>
      <c r="J34" s="405"/>
      <c r="K34" s="405"/>
    </row>
    <row r="35" spans="1:11">
      <c r="A35" s="405"/>
      <c r="B35" s="449" t="s">
        <v>474</v>
      </c>
      <c r="C35" s="342">
        <f>C16*C2*(C10+C11)</f>
        <v>0</v>
      </c>
      <c r="D35" s="396"/>
      <c r="E35" s="569">
        <f t="shared" si="1"/>
        <v>0</v>
      </c>
      <c r="F35" s="439"/>
      <c r="G35" s="405"/>
      <c r="H35" s="405"/>
      <c r="I35" s="405"/>
      <c r="J35" s="405"/>
      <c r="K35" s="405"/>
    </row>
    <row r="36" spans="1:11">
      <c r="A36" s="405"/>
      <c r="B36" s="449" t="s">
        <v>474</v>
      </c>
      <c r="C36" s="342">
        <f>C2*C10</f>
        <v>0</v>
      </c>
      <c r="D36" s="396"/>
      <c r="E36" s="569">
        <f t="shared" si="1"/>
        <v>0</v>
      </c>
      <c r="F36" s="439"/>
      <c r="G36" s="405"/>
      <c r="H36" s="405"/>
      <c r="I36" s="405"/>
      <c r="J36" s="405"/>
      <c r="K36" s="405"/>
    </row>
    <row r="37" spans="1:11">
      <c r="A37" s="405"/>
      <c r="B37" s="449" t="s">
        <v>363</v>
      </c>
      <c r="C37" s="342">
        <f>C15*C2*2*(C10+C11)</f>
        <v>0</v>
      </c>
      <c r="D37" s="396"/>
      <c r="E37" s="569">
        <f t="shared" si="1"/>
        <v>0</v>
      </c>
      <c r="F37" s="345"/>
      <c r="G37" s="405"/>
      <c r="H37" s="405"/>
      <c r="I37" s="405"/>
      <c r="J37" s="405"/>
      <c r="K37" s="405"/>
    </row>
    <row r="38" spans="1:11">
      <c r="A38" s="405"/>
      <c r="B38" s="449" t="s">
        <v>479</v>
      </c>
      <c r="C38" s="342">
        <f>EVEN(ROUNDDOWN(IF(C12=1,(C12*C2*(C10+C11))/0.5,0),0))</f>
        <v>0</v>
      </c>
      <c r="D38" s="396"/>
      <c r="E38" s="569">
        <f t="shared" si="1"/>
        <v>0</v>
      </c>
      <c r="F38" s="439"/>
      <c r="G38" s="405"/>
      <c r="H38" s="405"/>
      <c r="I38" s="405"/>
      <c r="J38" s="405"/>
      <c r="K38" s="405"/>
    </row>
    <row r="39" spans="1:11">
      <c r="A39" s="405"/>
      <c r="B39" s="451" t="s">
        <v>368</v>
      </c>
      <c r="C39" s="347">
        <f>(C27+C28+C29+C30)*2</f>
        <v>0</v>
      </c>
      <c r="D39" s="553"/>
      <c r="E39" s="569">
        <f t="shared" si="1"/>
        <v>0</v>
      </c>
      <c r="F39" s="439"/>
      <c r="G39" s="405"/>
      <c r="H39" s="405"/>
      <c r="I39" s="405"/>
      <c r="J39" s="405"/>
      <c r="K39" s="405"/>
    </row>
    <row r="40" spans="1:11">
      <c r="A40" s="405"/>
      <c r="B40" s="451" t="s">
        <v>118</v>
      </c>
      <c r="C40" s="347">
        <f>C17*C2*(C10+C11)</f>
        <v>0</v>
      </c>
      <c r="D40" s="353"/>
      <c r="E40" s="569">
        <f t="shared" si="1"/>
        <v>0</v>
      </c>
      <c r="F40" s="439"/>
      <c r="G40" s="405"/>
      <c r="H40" s="405"/>
      <c r="I40" s="405"/>
      <c r="J40" s="405"/>
      <c r="K40" s="405"/>
    </row>
    <row r="41" spans="1:11">
      <c r="A41" s="405"/>
      <c r="B41" s="451" t="s">
        <v>616</v>
      </c>
      <c r="C41" s="347">
        <f>C17*C2*(C10+C11)</f>
        <v>0</v>
      </c>
      <c r="D41" s="353"/>
      <c r="E41" s="569">
        <f t="shared" si="1"/>
        <v>0</v>
      </c>
      <c r="F41" s="439"/>
      <c r="G41" s="405"/>
      <c r="H41" s="405"/>
      <c r="I41" s="405"/>
      <c r="J41" s="405"/>
      <c r="K41" s="405"/>
    </row>
    <row r="42" spans="1:11">
      <c r="A42" s="405"/>
      <c r="B42" s="451" t="s">
        <v>467</v>
      </c>
      <c r="C42" s="347">
        <f>C16*C2*(C10+C11)</f>
        <v>0</v>
      </c>
      <c r="D42" s="353"/>
      <c r="E42" s="569">
        <f t="shared" si="1"/>
        <v>0</v>
      </c>
      <c r="F42" s="439"/>
      <c r="G42" s="405"/>
      <c r="H42" s="405"/>
      <c r="I42" s="405"/>
      <c r="J42" s="405"/>
      <c r="K42" s="405"/>
    </row>
    <row r="43" spans="1:11">
      <c r="A43" s="405"/>
      <c r="B43" s="451" t="s">
        <v>364</v>
      </c>
      <c r="C43" s="347">
        <f>C14*C2*(C10+C11)</f>
        <v>0</v>
      </c>
      <c r="D43" s="553"/>
      <c r="E43" s="569">
        <f t="shared" si="1"/>
        <v>0</v>
      </c>
      <c r="F43" s="345"/>
      <c r="G43" s="405"/>
      <c r="H43" s="405"/>
      <c r="I43" s="405"/>
      <c r="J43" s="405"/>
      <c r="K43" s="405"/>
    </row>
    <row r="44" spans="1:11">
      <c r="A44" s="405"/>
      <c r="B44" s="451" t="s">
        <v>365</v>
      </c>
      <c r="C44" s="347">
        <f>C15*C2*(C10+C11)</f>
        <v>0</v>
      </c>
      <c r="D44" s="553"/>
      <c r="E44" s="569">
        <f t="shared" si="1"/>
        <v>0</v>
      </c>
      <c r="F44" s="345"/>
      <c r="G44" s="405"/>
      <c r="H44" s="405"/>
      <c r="I44" s="405"/>
      <c r="J44" s="405"/>
      <c r="K44" s="405"/>
    </row>
    <row r="45" spans="1:11">
      <c r="A45" s="405"/>
      <c r="B45" s="449" t="s">
        <v>451</v>
      </c>
      <c r="C45" s="342">
        <f>C2*C10</f>
        <v>0</v>
      </c>
      <c r="D45" s="396"/>
      <c r="E45" s="569">
        <f t="shared" si="1"/>
        <v>0</v>
      </c>
      <c r="F45" s="439"/>
      <c r="G45" s="405"/>
      <c r="H45" s="405"/>
      <c r="I45" s="405"/>
      <c r="J45" s="405"/>
      <c r="K45" s="405"/>
    </row>
    <row r="46" spans="1:11">
      <c r="A46" s="405"/>
      <c r="B46" s="449" t="s">
        <v>450</v>
      </c>
      <c r="C46" s="342">
        <f>C2*C11</f>
        <v>0</v>
      </c>
      <c r="D46" s="396"/>
      <c r="E46" s="569">
        <f>C46*D46</f>
        <v>0</v>
      </c>
      <c r="F46" s="439"/>
      <c r="G46" s="405"/>
      <c r="H46" s="405"/>
      <c r="I46" s="405"/>
      <c r="J46" s="405"/>
      <c r="K46" s="405"/>
    </row>
    <row r="47" spans="1:11">
      <c r="A47" s="405"/>
      <c r="B47" s="449" t="s">
        <v>366</v>
      </c>
      <c r="C47" s="342">
        <f>(C11+C10)*C12*C2</f>
        <v>0</v>
      </c>
      <c r="D47" s="353"/>
      <c r="E47" s="344">
        <f>C47*D47</f>
        <v>0</v>
      </c>
      <c r="F47" s="439"/>
      <c r="G47" s="405"/>
      <c r="H47" s="405"/>
      <c r="I47" s="405"/>
      <c r="J47" s="405"/>
      <c r="K47" s="405"/>
    </row>
    <row r="48" spans="1:11">
      <c r="A48" s="405"/>
      <c r="B48" s="449" t="s">
        <v>724</v>
      </c>
      <c r="C48" s="342">
        <f>C11*((C4*2)-2)</f>
        <v>0</v>
      </c>
      <c r="D48" s="353"/>
      <c r="E48" s="344">
        <v>0</v>
      </c>
      <c r="F48" s="439"/>
      <c r="G48" s="405"/>
      <c r="H48" s="405"/>
      <c r="I48" s="405"/>
      <c r="J48" s="405"/>
      <c r="K48" s="405"/>
    </row>
    <row r="49" spans="1:11">
      <c r="A49" s="405"/>
      <c r="B49" s="451" t="s">
        <v>367</v>
      </c>
      <c r="C49" s="347">
        <f>C10</f>
        <v>0</v>
      </c>
      <c r="D49" s="353"/>
      <c r="E49" s="569">
        <f t="shared" si="1"/>
        <v>0</v>
      </c>
      <c r="F49" s="439"/>
      <c r="G49" s="405"/>
      <c r="H49" s="405"/>
      <c r="I49" s="405"/>
      <c r="J49" s="405"/>
      <c r="K49" s="405"/>
    </row>
    <row r="50" spans="1:11">
      <c r="A50" s="405"/>
      <c r="B50" s="451" t="s">
        <v>470</v>
      </c>
      <c r="C50" s="347">
        <f>C11</f>
        <v>0</v>
      </c>
      <c r="D50" s="353"/>
      <c r="E50" s="569">
        <f>C50*D50</f>
        <v>0</v>
      </c>
      <c r="F50" s="439"/>
      <c r="G50" s="405"/>
      <c r="H50" s="405"/>
      <c r="I50" s="405"/>
      <c r="J50" s="405"/>
      <c r="K50" s="405"/>
    </row>
    <row r="51" spans="1:11">
      <c r="A51" s="405"/>
      <c r="B51" s="451" t="s">
        <v>504</v>
      </c>
      <c r="C51" s="347">
        <f>(C4-1)*(C10+C11)</f>
        <v>0</v>
      </c>
      <c r="D51" s="353">
        <v>1</v>
      </c>
      <c r="E51" s="569">
        <f t="shared" si="1"/>
        <v>0</v>
      </c>
      <c r="F51" s="439"/>
      <c r="G51" s="405"/>
      <c r="H51" s="405"/>
      <c r="I51" s="405"/>
      <c r="J51" s="405"/>
      <c r="K51" s="405"/>
    </row>
    <row r="52" spans="1:11">
      <c r="A52" s="405"/>
      <c r="B52" s="451" t="s">
        <v>505</v>
      </c>
      <c r="C52" s="347">
        <f>(C4-1)*(C10+C11)</f>
        <v>0</v>
      </c>
      <c r="D52" s="353"/>
      <c r="E52" s="569">
        <f t="shared" si="1"/>
        <v>0</v>
      </c>
      <c r="F52" s="439"/>
      <c r="G52" s="405"/>
      <c r="H52" s="405"/>
      <c r="I52" s="405"/>
      <c r="J52" s="405"/>
      <c r="K52" s="405"/>
    </row>
    <row r="53" spans="1:11">
      <c r="A53" s="405"/>
      <c r="B53" s="451" t="s">
        <v>828</v>
      </c>
      <c r="C53" s="347">
        <f>C10+C11</f>
        <v>0</v>
      </c>
      <c r="D53" s="353"/>
      <c r="E53" s="569">
        <f t="shared" si="1"/>
        <v>0</v>
      </c>
      <c r="F53" s="439"/>
      <c r="G53" s="405"/>
      <c r="H53" s="405"/>
      <c r="I53" s="405"/>
      <c r="J53" s="405"/>
      <c r="K53" s="405"/>
    </row>
    <row r="54" spans="1:11">
      <c r="A54" s="405"/>
      <c r="B54" s="452" t="s">
        <v>506</v>
      </c>
      <c r="C54" s="399">
        <f>(C4-1+C18)*(C10+C11)</f>
        <v>0</v>
      </c>
      <c r="D54" s="353"/>
      <c r="E54" s="569">
        <f t="shared" si="1"/>
        <v>0</v>
      </c>
      <c r="F54" s="439"/>
      <c r="G54" s="523"/>
      <c r="H54" s="405"/>
      <c r="I54" s="405"/>
      <c r="J54" s="405"/>
      <c r="K54" s="405"/>
    </row>
    <row r="55" spans="1:11" ht="11.25" customHeight="1">
      <c r="A55" s="405"/>
      <c r="B55" s="452" t="s">
        <v>507</v>
      </c>
      <c r="C55" s="399">
        <f>(C4-1+C18)*(C10+C11)</f>
        <v>0</v>
      </c>
      <c r="D55" s="353"/>
      <c r="E55" s="569">
        <f t="shared" si="1"/>
        <v>0</v>
      </c>
      <c r="F55" s="439"/>
      <c r="G55" s="405"/>
      <c r="H55" s="405"/>
      <c r="I55" s="405"/>
      <c r="J55" s="405"/>
      <c r="K55" s="405"/>
    </row>
    <row r="56" spans="1:11" ht="11.25" customHeight="1">
      <c r="A56" s="405"/>
      <c r="B56" s="452" t="s">
        <v>508</v>
      </c>
      <c r="C56" s="399">
        <f>C18*(C10+C11)</f>
        <v>0</v>
      </c>
      <c r="D56" s="353"/>
      <c r="E56" s="569">
        <f t="shared" si="1"/>
        <v>0</v>
      </c>
      <c r="F56" s="439"/>
      <c r="G56" s="405"/>
      <c r="H56" s="405"/>
      <c r="I56" s="405"/>
      <c r="J56" s="405"/>
      <c r="K56" s="405"/>
    </row>
    <row r="57" spans="1:11" ht="11.25" customHeight="1">
      <c r="A57" s="405"/>
      <c r="B57" s="452" t="s">
        <v>454</v>
      </c>
      <c r="C57" s="399">
        <f>(C5+C6)*C10</f>
        <v>0</v>
      </c>
      <c r="D57" s="353"/>
      <c r="E57" s="569">
        <f t="shared" si="1"/>
        <v>0</v>
      </c>
      <c r="F57" s="439"/>
      <c r="G57" s="405"/>
      <c r="H57" s="405"/>
      <c r="I57" s="405"/>
      <c r="J57" s="405"/>
      <c r="K57" s="405"/>
    </row>
    <row r="58" spans="1:11" ht="11.25" customHeight="1">
      <c r="A58" s="405"/>
      <c r="B58" s="452" t="s">
        <v>375</v>
      </c>
      <c r="C58" s="399">
        <f>C6*C10</f>
        <v>0</v>
      </c>
      <c r="D58" s="353"/>
      <c r="E58" s="569">
        <f t="shared" si="1"/>
        <v>0</v>
      </c>
      <c r="F58" s="439"/>
      <c r="G58" s="405"/>
      <c r="H58" s="405"/>
      <c r="I58" s="405"/>
      <c r="J58" s="405"/>
      <c r="K58" s="405"/>
    </row>
    <row r="59" spans="1:11" ht="11.25" customHeight="1">
      <c r="A59" s="405"/>
      <c r="B59" s="452" t="s">
        <v>495</v>
      </c>
      <c r="C59" s="399">
        <f>C6*C10</f>
        <v>0</v>
      </c>
      <c r="D59" s="353"/>
      <c r="E59" s="569">
        <f t="shared" si="1"/>
        <v>0</v>
      </c>
      <c r="F59" s="439"/>
      <c r="G59" s="405"/>
      <c r="H59" s="405"/>
      <c r="I59" s="405"/>
      <c r="J59" s="405"/>
      <c r="K59" s="405"/>
    </row>
    <row r="60" spans="1:11" ht="11.25" customHeight="1">
      <c r="A60" s="405"/>
      <c r="B60" s="452" t="s">
        <v>380</v>
      </c>
      <c r="C60" s="399">
        <f>C5*C10</f>
        <v>0</v>
      </c>
      <c r="D60" s="353"/>
      <c r="E60" s="569">
        <f t="shared" si="1"/>
        <v>0</v>
      </c>
      <c r="F60" s="439"/>
      <c r="G60" s="405"/>
      <c r="H60" s="405"/>
      <c r="I60" s="405"/>
      <c r="J60" s="405"/>
      <c r="K60" s="405"/>
    </row>
    <row r="61" spans="1:11" ht="11.25" customHeight="1">
      <c r="A61" s="405"/>
      <c r="B61" s="452" t="s">
        <v>378</v>
      </c>
      <c r="C61" s="399">
        <f>C11*C8</f>
        <v>0</v>
      </c>
      <c r="D61" s="353"/>
      <c r="E61" s="400">
        <f t="shared" si="1"/>
        <v>0</v>
      </c>
      <c r="F61" s="439"/>
      <c r="G61" s="405"/>
      <c r="H61" s="405"/>
      <c r="I61" s="405"/>
      <c r="J61" s="405"/>
      <c r="K61" s="405"/>
    </row>
    <row r="62" spans="1:11" ht="11.25" customHeight="1">
      <c r="A62" s="405"/>
      <c r="B62" s="452" t="s">
        <v>386</v>
      </c>
      <c r="C62" s="399">
        <f>C11*C7</f>
        <v>0</v>
      </c>
      <c r="D62" s="353"/>
      <c r="E62" s="400">
        <f t="shared" si="1"/>
        <v>0</v>
      </c>
      <c r="F62" s="439"/>
      <c r="G62" s="405"/>
      <c r="H62" s="405"/>
      <c r="I62" s="405"/>
      <c r="J62" s="405"/>
      <c r="K62" s="405"/>
    </row>
    <row r="63" spans="1:11" ht="11.25" customHeight="1">
      <c r="A63" s="405"/>
      <c r="B63" s="452" t="s">
        <v>387</v>
      </c>
      <c r="C63" s="399">
        <f>C11*C7</f>
        <v>0</v>
      </c>
      <c r="D63" s="353"/>
      <c r="E63" s="400">
        <f t="shared" si="1"/>
        <v>0</v>
      </c>
      <c r="F63" s="439"/>
      <c r="G63" s="405"/>
      <c r="H63" s="405"/>
      <c r="I63" s="405"/>
      <c r="J63" s="405"/>
      <c r="K63" s="405"/>
    </row>
    <row r="64" spans="1:11" ht="11.25" customHeight="1">
      <c r="A64" s="405"/>
      <c r="B64" s="452" t="s">
        <v>377</v>
      </c>
      <c r="C64" s="399">
        <f>C11*C8</f>
        <v>0</v>
      </c>
      <c r="D64" s="353"/>
      <c r="E64" s="400">
        <f t="shared" si="1"/>
        <v>0</v>
      </c>
      <c r="F64" s="439"/>
      <c r="G64" s="405"/>
      <c r="H64" s="405"/>
      <c r="I64" s="405"/>
      <c r="J64" s="405"/>
      <c r="K64" s="405"/>
    </row>
    <row r="65" spans="1:11" ht="11.25" customHeight="1">
      <c r="A65" s="405"/>
      <c r="B65" s="451" t="s">
        <v>480</v>
      </c>
      <c r="C65" s="347">
        <f>C11*C2</f>
        <v>0</v>
      </c>
      <c r="D65" s="353"/>
      <c r="E65" s="344">
        <f t="shared" si="1"/>
        <v>0</v>
      </c>
      <c r="F65" s="439"/>
      <c r="G65" s="405"/>
      <c r="H65" s="405"/>
      <c r="I65" s="405"/>
      <c r="J65" s="405"/>
      <c r="K65" s="405"/>
    </row>
    <row r="66" spans="1:11" ht="11.25" customHeight="1">
      <c r="A66" s="405"/>
      <c r="B66" s="525" t="s">
        <v>145</v>
      </c>
      <c r="C66" s="506">
        <f>C20</f>
        <v>0</v>
      </c>
      <c r="D66" s="522"/>
      <c r="E66" s="400">
        <f t="shared" si="1"/>
        <v>0</v>
      </c>
      <c r="F66" s="439"/>
      <c r="G66" s="405"/>
      <c r="H66" s="405"/>
      <c r="I66" s="405"/>
      <c r="J66" s="405"/>
      <c r="K66" s="405"/>
    </row>
    <row r="67" spans="1:11" ht="11.25" customHeight="1">
      <c r="A67" s="405"/>
      <c r="B67" s="525" t="s">
        <v>148</v>
      </c>
      <c r="C67" s="506">
        <f>C19</f>
        <v>0</v>
      </c>
      <c r="D67" s="522"/>
      <c r="E67" s="400">
        <f t="shared" si="1"/>
        <v>0</v>
      </c>
      <c r="F67" s="439"/>
      <c r="G67" s="405"/>
      <c r="H67" s="405"/>
      <c r="I67" s="405"/>
      <c r="J67" s="405"/>
      <c r="K67" s="405"/>
    </row>
    <row r="68" spans="1:11" ht="11.25" customHeight="1">
      <c r="A68" s="405"/>
      <c r="B68" s="525" t="s">
        <v>689</v>
      </c>
      <c r="C68" s="506">
        <f>C21</f>
        <v>0</v>
      </c>
      <c r="D68" s="522"/>
      <c r="E68" s="400">
        <f t="shared" si="1"/>
        <v>0</v>
      </c>
      <c r="F68" s="439"/>
      <c r="G68" s="405"/>
      <c r="H68" s="405"/>
      <c r="I68" s="405"/>
      <c r="J68" s="405"/>
      <c r="K68" s="405"/>
    </row>
    <row r="69" spans="1:11" ht="11.25" customHeight="1" thickBot="1">
      <c r="A69" s="405"/>
      <c r="B69" s="454" t="s">
        <v>829</v>
      </c>
      <c r="C69" s="402">
        <f>C5*C10</f>
        <v>0</v>
      </c>
      <c r="D69" s="473"/>
      <c r="E69" s="570">
        <f t="shared" si="1"/>
        <v>0</v>
      </c>
      <c r="F69" s="453"/>
      <c r="G69" s="405"/>
      <c r="H69" s="405"/>
      <c r="I69" s="405"/>
      <c r="J69" s="405"/>
      <c r="K69" s="405"/>
    </row>
    <row r="70" spans="1:11" ht="11.25" customHeight="1" thickBot="1">
      <c r="A70" s="405"/>
      <c r="B70" s="439"/>
      <c r="C70" s="439"/>
      <c r="D70" s="455" t="s">
        <v>9</v>
      </c>
      <c r="E70" s="641">
        <f>SUMIF(E24:E69,"&gt;0",E24:E69)</f>
        <v>0</v>
      </c>
      <c r="F70" s="642"/>
      <c r="G70" s="405"/>
      <c r="H70" s="405"/>
      <c r="I70" s="405"/>
      <c r="J70" s="405"/>
      <c r="K70" s="405"/>
    </row>
    <row r="71" spans="1:11" ht="11.25" customHeight="1">
      <c r="A71" s="405"/>
      <c r="B71" s="439"/>
      <c r="C71" s="439"/>
      <c r="D71" s="439"/>
      <c r="E71" s="439"/>
      <c r="F71" s="642"/>
      <c r="G71" s="405"/>
      <c r="H71" s="405"/>
      <c r="I71" s="405"/>
      <c r="J71" s="405"/>
      <c r="K71" s="405"/>
    </row>
    <row r="72" spans="1:11" ht="11.25" customHeight="1">
      <c r="A72" s="405"/>
      <c r="B72" s="439"/>
      <c r="C72" s="439"/>
      <c r="D72" s="439"/>
      <c r="E72" s="439"/>
      <c r="F72" s="642"/>
      <c r="G72" s="405"/>
      <c r="H72" s="405"/>
      <c r="I72" s="405"/>
      <c r="J72" s="405"/>
      <c r="K72" s="405"/>
    </row>
    <row r="73" spans="1:11" ht="11.25" customHeight="1">
      <c r="A73" s="405"/>
      <c r="B73" s="405"/>
      <c r="C73" s="405"/>
      <c r="D73" s="405"/>
      <c r="E73" s="405"/>
      <c r="F73" s="643"/>
      <c r="G73" s="405"/>
      <c r="H73" s="405"/>
      <c r="I73" s="405"/>
      <c r="J73" s="405"/>
      <c r="K73" s="405"/>
    </row>
    <row r="74" spans="1:11" ht="11.25" customHeight="1">
      <c r="A74" s="405"/>
      <c r="B74" s="405"/>
      <c r="C74" s="405"/>
      <c r="D74" s="405"/>
      <c r="E74" s="405"/>
      <c r="F74" s="643"/>
      <c r="G74" s="405"/>
      <c r="H74" s="405"/>
      <c r="I74" s="405"/>
      <c r="J74" s="405"/>
      <c r="K74" s="405"/>
    </row>
    <row r="75" spans="1:11">
      <c r="A75" s="405"/>
      <c r="B75" s="405"/>
      <c r="C75" s="405"/>
      <c r="D75" s="405"/>
      <c r="E75" s="405"/>
      <c r="F75" s="643"/>
      <c r="G75" s="405"/>
      <c r="H75" s="405"/>
      <c r="I75" s="405"/>
      <c r="J75" s="405"/>
      <c r="K75" s="405"/>
    </row>
    <row r="76" spans="1:11">
      <c r="A76" s="405"/>
      <c r="B76" s="405"/>
      <c r="C76" s="405"/>
      <c r="D76" s="405"/>
      <c r="E76" s="405"/>
      <c r="F76" s="643"/>
      <c r="G76" s="405"/>
      <c r="H76" s="405"/>
      <c r="I76" s="405"/>
      <c r="J76" s="405"/>
      <c r="K76" s="405"/>
    </row>
    <row r="77" spans="1:11">
      <c r="A77" s="405"/>
      <c r="B77" s="405"/>
      <c r="C77" s="405"/>
      <c r="D77" s="405"/>
      <c r="E77" s="405"/>
      <c r="F77" s="643"/>
      <c r="G77" s="405"/>
      <c r="H77" s="405"/>
      <c r="I77" s="405"/>
      <c r="J77" s="405"/>
      <c r="K77" s="405"/>
    </row>
    <row r="78" spans="1:11" ht="12.75" customHeight="1">
      <c r="A78" s="405"/>
      <c r="B78" s="405"/>
      <c r="C78" s="405"/>
      <c r="D78" s="405"/>
      <c r="E78" s="405"/>
      <c r="F78" s="643"/>
      <c r="G78" s="405"/>
      <c r="H78" s="405"/>
      <c r="I78" s="405"/>
      <c r="J78" s="405"/>
      <c r="K78" s="405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D19:F19"/>
    <mergeCell ref="D20:F20"/>
    <mergeCell ref="D21:F21"/>
    <mergeCell ref="D10:F11"/>
    <mergeCell ref="F14:F17"/>
    <mergeCell ref="F12:F13"/>
    <mergeCell ref="B1:E1"/>
    <mergeCell ref="D18:E18"/>
    <mergeCell ref="D2:F3"/>
    <mergeCell ref="D4:F4"/>
    <mergeCell ref="F5:F8"/>
  </mergeCells>
  <conditionalFormatting sqref="C9">
    <cfRule type="cellIs" dxfId="519" priority="30" operator="greaterThan">
      <formula>0</formula>
    </cfRule>
  </conditionalFormatting>
  <conditionalFormatting sqref="C9">
    <cfRule type="cellIs" dxfId="518" priority="31" operator="greaterThan">
      <formula>0</formula>
    </cfRule>
  </conditionalFormatting>
  <conditionalFormatting sqref="I18:I21">
    <cfRule type="cellIs" dxfId="517" priority="22" operator="equal">
      <formula>"ДА"</formula>
    </cfRule>
    <cfRule type="cellIs" dxfId="516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515" priority="33" operator="greaterThan">
      <formula>0</formula>
    </cfRule>
  </conditionalFormatting>
  <conditionalFormatting sqref="C62:E63">
    <cfRule type="cellIs" dxfId="514" priority="16" operator="greaterThan">
      <formula>0</formula>
    </cfRule>
  </conditionalFormatting>
  <conditionalFormatting sqref="C61:E61">
    <cfRule type="cellIs" dxfId="513" priority="17" operator="greaterThan">
      <formula>0</formula>
    </cfRule>
  </conditionalFormatting>
  <conditionalFormatting sqref="J3:K17">
    <cfRule type="cellIs" dxfId="512" priority="8" operator="greaterThan">
      <formula>0</formula>
    </cfRule>
    <cfRule type="cellIs" dxfId="511" priority="11" operator="greaterThan">
      <formula>0</formula>
    </cfRule>
  </conditionalFormatting>
  <conditionalFormatting sqref="C64:E64">
    <cfRule type="cellIs" dxfId="510" priority="15" operator="greaterThan">
      <formula>0</formula>
    </cfRule>
  </conditionalFormatting>
  <conditionalFormatting sqref="I3:I17">
    <cfRule type="cellIs" dxfId="509" priority="12" operator="equal">
      <formula>"НЕТ"</formula>
    </cfRule>
    <cfRule type="cellIs" dxfId="508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507" priority="10" operator="greaterThan">
      <formula>0</formula>
    </cfRule>
  </conditionalFormatting>
  <conditionalFormatting sqref="C24:E46 C69:E69 C49:E64">
    <cfRule type="cellIs" dxfId="506" priority="5" operator="greaterThan">
      <formula>0</formula>
    </cfRule>
    <cfRule type="cellIs" dxfId="505" priority="6" operator="greaterThan">
      <formula>0</formula>
    </cfRule>
    <cfRule type="cellIs" dxfId="504" priority="9" operator="greaterThan">
      <formula>0</formula>
    </cfRule>
  </conditionalFormatting>
  <conditionalFormatting sqref="E70">
    <cfRule type="cellIs" dxfId="503" priority="7" operator="greaterThan">
      <formula>0</formula>
    </cfRule>
  </conditionalFormatting>
  <conditionalFormatting sqref="C65:E65">
    <cfRule type="cellIs" dxfId="502" priority="4" operator="greaterThan">
      <formula>0</formula>
    </cfRule>
  </conditionalFormatting>
  <conditionalFormatting sqref="C47:E48">
    <cfRule type="cellIs" dxfId="501" priority="3" operator="greaterThan">
      <formula>0</formula>
    </cfRule>
  </conditionalFormatting>
  <conditionalFormatting sqref="C19:C21">
    <cfRule type="cellIs" dxfId="500" priority="2" operator="greaterThan">
      <formula>0</formula>
    </cfRule>
  </conditionalFormatting>
  <conditionalFormatting sqref="C66:E68">
    <cfRule type="cellIs" dxfId="49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05"/>
      <c r="B1" s="1286"/>
      <c r="C1" s="1287"/>
      <c r="D1" s="1287"/>
      <c r="E1" s="1287"/>
      <c r="F1" s="405"/>
      <c r="G1" s="405"/>
      <c r="H1" s="405"/>
      <c r="I1" s="405"/>
      <c r="J1" s="405"/>
      <c r="K1" s="405"/>
      <c r="L1" s="405"/>
    </row>
    <row r="2" spans="1:12" ht="12.75" customHeight="1" thickBot="1">
      <c r="A2" s="405"/>
      <c r="B2" s="407" t="s">
        <v>666</v>
      </c>
      <c r="C2" s="458">
        <v>0</v>
      </c>
      <c r="D2" s="1231" t="s">
        <v>595</v>
      </c>
      <c r="E2" s="1232"/>
      <c r="F2" s="1233"/>
      <c r="G2" s="439"/>
      <c r="H2" s="409" t="s">
        <v>485</v>
      </c>
      <c r="I2" s="410" t="s">
        <v>604</v>
      </c>
      <c r="J2" s="476" t="s">
        <v>4</v>
      </c>
      <c r="K2" s="477" t="s">
        <v>8</v>
      </c>
      <c r="L2" s="405"/>
    </row>
    <row r="3" spans="1:12" ht="12.75" thickBot="1">
      <c r="A3" s="405"/>
      <c r="B3" s="412" t="s">
        <v>667</v>
      </c>
      <c r="C3" s="459">
        <v>0</v>
      </c>
      <c r="D3" s="1234"/>
      <c r="E3" s="1235"/>
      <c r="F3" s="1236"/>
      <c r="G3" s="439"/>
      <c r="H3" s="413" t="s">
        <v>372</v>
      </c>
      <c r="I3" s="414" t="str">
        <f>IF(AND($C$6=1,$C$5+$C$7+$C$8=0,$C$9=2),"ДА","НЕТ")</f>
        <v>НЕТ</v>
      </c>
      <c r="J3" s="318"/>
      <c r="K3" s="319">
        <f>IF(I3="ДА",($C$14+$C$15)*J3,0)</f>
        <v>0</v>
      </c>
      <c r="L3" s="405"/>
    </row>
    <row r="4" spans="1:12" ht="12.75" thickBot="1">
      <c r="A4" s="405"/>
      <c r="B4" s="429" t="s">
        <v>127</v>
      </c>
      <c r="C4" s="566">
        <v>0</v>
      </c>
      <c r="D4" s="1277" t="s">
        <v>128</v>
      </c>
      <c r="E4" s="1278"/>
      <c r="F4" s="1279"/>
      <c r="G4" s="439"/>
      <c r="H4" s="416" t="s">
        <v>373</v>
      </c>
      <c r="I4" s="414" t="str">
        <f>IF(AND($C$6=1,$C$5+$C$7+$C$8=0,$C$9=2),"ДА","НЕТ")</f>
        <v>НЕТ</v>
      </c>
      <c r="J4" s="395"/>
      <c r="K4" s="319">
        <f t="shared" ref="K4:K17" si="0">IF(I4="ДА",($C$14+$C$15)*J4,0)</f>
        <v>0</v>
      </c>
      <c r="L4" s="405"/>
    </row>
    <row r="5" spans="1:12" ht="11.25" customHeight="1">
      <c r="A5" s="405"/>
      <c r="B5" s="407" t="s">
        <v>492</v>
      </c>
      <c r="C5" s="464">
        <v>0</v>
      </c>
      <c r="D5" s="420" t="s">
        <v>287</v>
      </c>
      <c r="E5" s="420" t="s">
        <v>255</v>
      </c>
      <c r="F5" s="1240" t="s">
        <v>597</v>
      </c>
      <c r="G5" s="439"/>
      <c r="H5" s="416" t="s">
        <v>374</v>
      </c>
      <c r="I5" s="414" t="str">
        <f>IF(AND($C$6=1,$C$5+$C$7+$C$8=0,$C$9=2),"ДА","НЕТ")</f>
        <v>НЕТ</v>
      </c>
      <c r="J5" s="395"/>
      <c r="K5" s="319">
        <f t="shared" si="0"/>
        <v>0</v>
      </c>
      <c r="L5" s="405"/>
    </row>
    <row r="6" spans="1:12" ht="12">
      <c r="A6" s="405"/>
      <c r="B6" s="417" t="s">
        <v>490</v>
      </c>
      <c r="C6" s="461">
        <v>0</v>
      </c>
      <c r="D6" s="424" t="s">
        <v>287</v>
      </c>
      <c r="E6" s="424" t="s">
        <v>255</v>
      </c>
      <c r="F6" s="1240"/>
      <c r="G6" s="439"/>
      <c r="H6" s="418" t="s">
        <v>376</v>
      </c>
      <c r="I6" s="414" t="str">
        <f>IF(AND($C$6=1,$C$5+$C$7+$C$8=0,$C$9=3),"ДА","НЕТ")</f>
        <v>НЕТ</v>
      </c>
      <c r="J6" s="322"/>
      <c r="K6" s="319">
        <f t="shared" si="0"/>
        <v>0</v>
      </c>
      <c r="L6" s="405"/>
    </row>
    <row r="7" spans="1:12" ht="12">
      <c r="A7" s="405"/>
      <c r="B7" s="417" t="s">
        <v>493</v>
      </c>
      <c r="C7" s="461">
        <v>0</v>
      </c>
      <c r="D7" s="424" t="s">
        <v>287</v>
      </c>
      <c r="E7" s="424" t="s">
        <v>255</v>
      </c>
      <c r="F7" s="1240"/>
      <c r="G7" s="439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  <c r="L7" s="405"/>
    </row>
    <row r="8" spans="1:12" ht="12.75" thickBot="1">
      <c r="A8" s="405"/>
      <c r="B8" s="514" t="s">
        <v>491</v>
      </c>
      <c r="C8" s="513">
        <v>0</v>
      </c>
      <c r="D8" s="626" t="s">
        <v>287</v>
      </c>
      <c r="E8" s="516" t="s">
        <v>255</v>
      </c>
      <c r="F8" s="1241"/>
      <c r="G8" s="439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  <c r="L8" s="405"/>
    </row>
    <row r="9" spans="1:12" ht="12.75" thickBot="1">
      <c r="A9" s="405"/>
      <c r="B9" s="429" t="s">
        <v>589</v>
      </c>
      <c r="C9" s="548">
        <v>0</v>
      </c>
      <c r="D9" s="433" t="s">
        <v>619</v>
      </c>
      <c r="E9" s="434" t="s">
        <v>620</v>
      </c>
      <c r="F9" s="436" t="s">
        <v>621</v>
      </c>
      <c r="G9" s="439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  <c r="L9" s="405"/>
    </row>
    <row r="10" spans="1:12" ht="12" customHeight="1">
      <c r="A10" s="405"/>
      <c r="B10" s="407" t="s">
        <v>361</v>
      </c>
      <c r="C10" s="464">
        <v>0</v>
      </c>
      <c r="D10" s="420" t="s">
        <v>287</v>
      </c>
      <c r="E10" s="625" t="s">
        <v>255</v>
      </c>
      <c r="F10" s="1239" t="s">
        <v>597</v>
      </c>
      <c r="G10" s="439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  <c r="L10" s="405"/>
    </row>
    <row r="11" spans="1:12" ht="12">
      <c r="A11" s="405"/>
      <c r="B11" s="417" t="s">
        <v>362</v>
      </c>
      <c r="C11" s="461">
        <v>0</v>
      </c>
      <c r="D11" s="424" t="s">
        <v>287</v>
      </c>
      <c r="E11" s="644" t="s">
        <v>255</v>
      </c>
      <c r="F11" s="1240"/>
      <c r="G11" s="439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  <c r="L11" s="405"/>
    </row>
    <row r="12" spans="1:12" ht="12">
      <c r="A12" s="405"/>
      <c r="B12" s="417" t="s">
        <v>467</v>
      </c>
      <c r="C12" s="461">
        <v>0</v>
      </c>
      <c r="D12" s="424" t="s">
        <v>287</v>
      </c>
      <c r="E12" s="644" t="s">
        <v>255</v>
      </c>
      <c r="F12" s="1240"/>
      <c r="G12" s="439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  <c r="L12" s="405"/>
    </row>
    <row r="13" spans="1:12" ht="12.75" thickBot="1">
      <c r="A13" s="405"/>
      <c r="B13" s="412" t="s">
        <v>466</v>
      </c>
      <c r="C13" s="463">
        <v>0</v>
      </c>
      <c r="D13" s="427" t="s">
        <v>287</v>
      </c>
      <c r="E13" s="431" t="s">
        <v>255</v>
      </c>
      <c r="F13" s="1241"/>
      <c r="G13" s="439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  <c r="L13" s="405"/>
    </row>
    <row r="14" spans="1:12" ht="11.25" customHeight="1">
      <c r="A14" s="405"/>
      <c r="B14" s="419" t="s">
        <v>670</v>
      </c>
      <c r="C14" s="567">
        <v>0</v>
      </c>
      <c r="D14" s="1280" t="s">
        <v>597</v>
      </c>
      <c r="E14" s="1281"/>
      <c r="F14" s="1282"/>
      <c r="G14" s="439"/>
      <c r="H14" s="413" t="s">
        <v>383</v>
      </c>
      <c r="I14" s="414" t="str">
        <f>IF(AND($C$7=1,$C$6+$C$8+$C$5=0,$C$9=1),"ДА","НЕТ")</f>
        <v>НЕТ</v>
      </c>
      <c r="J14" s="325"/>
      <c r="K14" s="319">
        <f t="shared" si="0"/>
        <v>0</v>
      </c>
      <c r="L14" s="405"/>
    </row>
    <row r="15" spans="1:12" ht="12.75" thickBot="1">
      <c r="A15" s="405"/>
      <c r="B15" s="514" t="s">
        <v>671</v>
      </c>
      <c r="C15" s="568">
        <v>0</v>
      </c>
      <c r="D15" s="1283"/>
      <c r="E15" s="1284"/>
      <c r="F15" s="1285"/>
      <c r="G15" s="439"/>
      <c r="H15" s="416" t="s">
        <v>384</v>
      </c>
      <c r="I15" s="414" t="str">
        <f>IF(AND($C$7=1,$C$6+$C$8+$C$5=0,$C$9=1),"ДА","НЕТ")</f>
        <v>НЕТ</v>
      </c>
      <c r="J15" s="325"/>
      <c r="K15" s="319">
        <f t="shared" si="0"/>
        <v>0</v>
      </c>
      <c r="L15" s="405"/>
    </row>
    <row r="16" spans="1:12" ht="12.75" thickBot="1">
      <c r="A16" s="405"/>
      <c r="B16" s="429" t="s">
        <v>404</v>
      </c>
      <c r="C16" s="465">
        <v>0</v>
      </c>
      <c r="D16" s="433" t="s">
        <v>544</v>
      </c>
      <c r="E16" s="645" t="s">
        <v>545</v>
      </c>
      <c r="F16" s="646"/>
      <c r="G16" s="439"/>
      <c r="H16" s="413" t="s">
        <v>388</v>
      </c>
      <c r="I16" s="414" t="str">
        <f>IF(AND($C$7=1,$C$6+$C$8+$C$5=0,$C$9=2),"ДА","НЕТ")</f>
        <v>НЕТ</v>
      </c>
      <c r="J16" s="325"/>
      <c r="K16" s="319">
        <f t="shared" si="0"/>
        <v>0</v>
      </c>
      <c r="L16" s="405"/>
    </row>
    <row r="17" spans="1:12" ht="12.75" thickBot="1">
      <c r="A17" s="405"/>
      <c r="B17" s="407" t="s">
        <v>147</v>
      </c>
      <c r="C17" s="464">
        <v>0</v>
      </c>
      <c r="D17" s="1242" t="s">
        <v>686</v>
      </c>
      <c r="E17" s="1243"/>
      <c r="F17" s="1244"/>
      <c r="G17" s="439"/>
      <c r="H17" s="437" t="s">
        <v>389</v>
      </c>
      <c r="I17" s="438" t="str">
        <f>IF(AND($C$7=1,$C$6+$C$8+$C$5=0,$C$9=2),"ДА","НЕТ")</f>
        <v>НЕТ</v>
      </c>
      <c r="J17" s="332"/>
      <c r="K17" s="475">
        <f t="shared" si="0"/>
        <v>0</v>
      </c>
      <c r="L17" s="405"/>
    </row>
    <row r="18" spans="1:12" s="71" customFormat="1" ht="12">
      <c r="A18" s="640"/>
      <c r="B18" s="417" t="s">
        <v>146</v>
      </c>
      <c r="C18" s="461">
        <v>0</v>
      </c>
      <c r="D18" s="1245" t="s">
        <v>687</v>
      </c>
      <c r="E18" s="1246"/>
      <c r="F18" s="1247"/>
      <c r="G18" s="443"/>
      <c r="H18" s="564"/>
      <c r="I18" s="565"/>
      <c r="J18" s="336"/>
      <c r="K18" s="337"/>
      <c r="L18" s="640"/>
    </row>
    <row r="19" spans="1:12" ht="12.75" thickBot="1">
      <c r="A19" s="405"/>
      <c r="B19" s="412" t="s">
        <v>143</v>
      </c>
      <c r="C19" s="463">
        <v>0</v>
      </c>
      <c r="D19" s="1248" t="s">
        <v>688</v>
      </c>
      <c r="E19" s="1249"/>
      <c r="F19" s="1250"/>
      <c r="G19" s="439"/>
      <c r="H19" s="564"/>
      <c r="I19" s="565"/>
      <c r="J19" s="336"/>
      <c r="K19" s="337"/>
      <c r="L19" s="405"/>
    </row>
    <row r="20" spans="1:12" ht="12.75" thickBot="1">
      <c r="A20" s="405"/>
      <c r="B20" s="717"/>
      <c r="C20" s="717"/>
      <c r="D20" s="717"/>
      <c r="E20" s="439"/>
      <c r="F20" s="439"/>
      <c r="G20" s="439"/>
      <c r="H20" s="564"/>
      <c r="I20" s="565"/>
      <c r="J20" s="336"/>
      <c r="K20" s="337"/>
      <c r="L20" s="405"/>
    </row>
    <row r="21" spans="1:12" ht="12.75">
      <c r="A21" s="405"/>
      <c r="B21" s="444" t="s">
        <v>5</v>
      </c>
      <c r="C21" s="445" t="s">
        <v>0</v>
      </c>
      <c r="D21" s="446" t="s">
        <v>4</v>
      </c>
      <c r="E21" s="447" t="s">
        <v>8</v>
      </c>
      <c r="F21" s="439"/>
      <c r="G21" s="439"/>
      <c r="H21" s="439"/>
      <c r="I21" s="439"/>
      <c r="J21" s="439"/>
      <c r="K21" s="439"/>
      <c r="L21" s="405"/>
    </row>
    <row r="22" spans="1:12">
      <c r="A22" s="405"/>
      <c r="B22" s="449" t="s">
        <v>468</v>
      </c>
      <c r="C22" s="342">
        <f>C13*C4*(C14+C15)</f>
        <v>0</v>
      </c>
      <c r="D22" s="343"/>
      <c r="E22" s="344">
        <f>C22*D22</f>
        <v>0</v>
      </c>
      <c r="F22" s="439"/>
      <c r="G22" s="439"/>
      <c r="H22" s="439"/>
      <c r="I22" s="439"/>
      <c r="J22" s="439"/>
      <c r="K22" s="439"/>
      <c r="L22" s="405"/>
    </row>
    <row r="23" spans="1:12">
      <c r="A23" s="405"/>
      <c r="B23" s="449" t="s">
        <v>541</v>
      </c>
      <c r="C23" s="342">
        <f>C12*C4*(C14+C15)</f>
        <v>0</v>
      </c>
      <c r="D23" s="353"/>
      <c r="E23" s="344">
        <f t="shared" ref="E23:E65" si="1">C23*D23</f>
        <v>0</v>
      </c>
      <c r="F23" s="439"/>
      <c r="G23" s="439"/>
      <c r="H23" s="439"/>
      <c r="I23" s="439"/>
      <c r="J23" s="439"/>
      <c r="K23" s="439"/>
      <c r="L23" s="405"/>
    </row>
    <row r="24" spans="1:12">
      <c r="A24" s="405"/>
      <c r="B24" s="449" t="s">
        <v>411</v>
      </c>
      <c r="C24" s="342">
        <f>(C10+C11)*C4*(C14+C15)*2</f>
        <v>0</v>
      </c>
      <c r="D24" s="353"/>
      <c r="E24" s="344">
        <f t="shared" si="1"/>
        <v>0</v>
      </c>
      <c r="F24" s="439"/>
      <c r="G24" s="439"/>
      <c r="H24" s="439"/>
      <c r="I24" s="439"/>
      <c r="J24" s="439"/>
      <c r="K24" s="439"/>
      <c r="L24" s="405"/>
    </row>
    <row r="25" spans="1:12">
      <c r="A25" s="405"/>
      <c r="B25" s="451" t="s">
        <v>447</v>
      </c>
      <c r="C25" s="347">
        <f>(C14+C15)*2</f>
        <v>0</v>
      </c>
      <c r="D25" s="348"/>
      <c r="E25" s="344">
        <f t="shared" si="1"/>
        <v>0</v>
      </c>
      <c r="F25" s="439"/>
      <c r="G25" s="439"/>
      <c r="H25" s="439"/>
      <c r="I25" s="439"/>
      <c r="J25" s="439"/>
      <c r="K25" s="439"/>
      <c r="L25" s="405"/>
    </row>
    <row r="26" spans="1:12">
      <c r="A26" s="405"/>
      <c r="B26" s="451" t="s">
        <v>503</v>
      </c>
      <c r="C26" s="347">
        <f>(C4-1)*(C14+C15)</f>
        <v>0</v>
      </c>
      <c r="D26" s="348"/>
      <c r="E26" s="344">
        <f t="shared" si="1"/>
        <v>0</v>
      </c>
      <c r="F26" s="439"/>
      <c r="G26" s="439"/>
      <c r="H26" s="439"/>
      <c r="I26" s="439"/>
      <c r="J26" s="439"/>
      <c r="K26" s="439"/>
      <c r="L26" s="405"/>
    </row>
    <row r="27" spans="1:12">
      <c r="A27" s="405"/>
      <c r="B27" s="449" t="s">
        <v>474</v>
      </c>
      <c r="C27" s="342">
        <f>C2*C14</f>
        <v>0</v>
      </c>
      <c r="D27" s="343"/>
      <c r="E27" s="344">
        <f t="shared" si="1"/>
        <v>0</v>
      </c>
      <c r="F27" s="439"/>
      <c r="G27" s="439"/>
      <c r="H27" s="439"/>
      <c r="I27" s="439"/>
      <c r="J27" s="439"/>
      <c r="K27" s="439"/>
      <c r="L27" s="405"/>
    </row>
    <row r="28" spans="1:12">
      <c r="A28" s="405"/>
      <c r="B28" s="449" t="s">
        <v>474</v>
      </c>
      <c r="C28" s="342">
        <f>C2*C14*C12</f>
        <v>0</v>
      </c>
      <c r="D28" s="343"/>
      <c r="E28" s="344">
        <f>C28*D28</f>
        <v>0</v>
      </c>
      <c r="F28" s="439"/>
      <c r="G28" s="439"/>
      <c r="H28" s="439"/>
      <c r="I28" s="439"/>
      <c r="J28" s="439"/>
      <c r="K28" s="439"/>
      <c r="L28" s="405"/>
    </row>
    <row r="29" spans="1:12">
      <c r="A29" s="405"/>
      <c r="B29" s="449" t="s">
        <v>363</v>
      </c>
      <c r="C29" s="342">
        <f>C2*C11*2*(C14+C15)</f>
        <v>0</v>
      </c>
      <c r="D29" s="396"/>
      <c r="E29" s="569">
        <f>C29*D29</f>
        <v>0</v>
      </c>
      <c r="F29" s="439"/>
      <c r="G29" s="439"/>
      <c r="H29" s="439"/>
      <c r="I29" s="439"/>
      <c r="J29" s="439"/>
      <c r="K29" s="439"/>
      <c r="L29" s="405"/>
    </row>
    <row r="30" spans="1:12">
      <c r="A30" s="405"/>
      <c r="B30" s="451" t="s">
        <v>118</v>
      </c>
      <c r="C30" s="347">
        <f>C2*(C14+C15)*C10</f>
        <v>0</v>
      </c>
      <c r="D30" s="348"/>
      <c r="E30" s="344">
        <f t="shared" si="1"/>
        <v>0</v>
      </c>
      <c r="F30" s="439"/>
      <c r="G30" s="439"/>
      <c r="H30" s="439"/>
      <c r="I30" s="439"/>
      <c r="J30" s="439"/>
      <c r="K30" s="439"/>
      <c r="L30" s="405"/>
    </row>
    <row r="31" spans="1:12">
      <c r="A31" s="405"/>
      <c r="B31" s="451" t="s">
        <v>472</v>
      </c>
      <c r="C31" s="347">
        <f>C2*(C14+C15)*C13</f>
        <v>0</v>
      </c>
      <c r="D31" s="348"/>
      <c r="E31" s="344">
        <f t="shared" si="1"/>
        <v>0</v>
      </c>
      <c r="F31" s="439"/>
      <c r="G31" s="439"/>
      <c r="H31" s="439"/>
      <c r="I31" s="439"/>
      <c r="J31" s="439"/>
      <c r="K31" s="439"/>
      <c r="L31" s="405"/>
    </row>
    <row r="32" spans="1:12">
      <c r="A32" s="405"/>
      <c r="B32" s="451" t="s">
        <v>473</v>
      </c>
      <c r="C32" s="347">
        <f>C2*C12*(C14+C15)</f>
        <v>0</v>
      </c>
      <c r="D32" s="353"/>
      <c r="E32" s="344">
        <f t="shared" si="1"/>
        <v>0</v>
      </c>
      <c r="F32" s="439"/>
      <c r="G32" s="439"/>
      <c r="H32" s="439"/>
      <c r="I32" s="439"/>
      <c r="J32" s="439"/>
      <c r="K32" s="439"/>
      <c r="L32" s="405"/>
    </row>
    <row r="33" spans="1:12">
      <c r="A33" s="405"/>
      <c r="B33" s="451" t="s">
        <v>364</v>
      </c>
      <c r="C33" s="347">
        <f>C2*C10*(C14+C15)</f>
        <v>0</v>
      </c>
      <c r="D33" s="353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</row>
    <row r="34" spans="1:12">
      <c r="A34" s="405"/>
      <c r="B34" s="451" t="s">
        <v>365</v>
      </c>
      <c r="C34" s="347">
        <f>C2*C11*(C14+C15)</f>
        <v>0</v>
      </c>
      <c r="D34" s="353"/>
      <c r="E34" s="344">
        <f t="shared" si="1"/>
        <v>0</v>
      </c>
      <c r="F34" s="439"/>
      <c r="G34" s="439"/>
      <c r="H34" s="439"/>
      <c r="I34" s="439"/>
      <c r="J34" s="439"/>
      <c r="K34" s="439"/>
      <c r="L34" s="405"/>
    </row>
    <row r="35" spans="1:12">
      <c r="A35" s="405"/>
      <c r="B35" s="449" t="s">
        <v>451</v>
      </c>
      <c r="C35" s="342">
        <f>C2*C14</f>
        <v>0</v>
      </c>
      <c r="D35" s="343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</row>
    <row r="36" spans="1:12">
      <c r="A36" s="405"/>
      <c r="B36" s="449" t="s">
        <v>450</v>
      </c>
      <c r="C36" s="342">
        <f>C2*C15</f>
        <v>0</v>
      </c>
      <c r="D36" s="396"/>
      <c r="E36" s="569">
        <f t="shared" si="1"/>
        <v>0</v>
      </c>
      <c r="F36" s="439"/>
      <c r="G36" s="439"/>
      <c r="H36" s="439"/>
      <c r="I36" s="439"/>
      <c r="J36" s="439"/>
      <c r="K36" s="439"/>
      <c r="L36" s="405"/>
    </row>
    <row r="37" spans="1:12">
      <c r="A37" s="405"/>
      <c r="B37" s="635" t="s">
        <v>484</v>
      </c>
      <c r="C37" s="399">
        <f>C2*(C14+C15)</f>
        <v>0</v>
      </c>
      <c r="D37" s="554"/>
      <c r="E37" s="344">
        <f t="shared" si="1"/>
        <v>0</v>
      </c>
      <c r="F37" s="439"/>
      <c r="G37" s="439"/>
      <c r="H37" s="439"/>
      <c r="I37" s="439"/>
      <c r="J37" s="439"/>
      <c r="K37" s="439"/>
      <c r="L37" s="405"/>
    </row>
    <row r="38" spans="1:12">
      <c r="A38" s="405"/>
      <c r="B38" s="451" t="s">
        <v>368</v>
      </c>
      <c r="C38" s="347">
        <f>(C25+C26)*2</f>
        <v>0</v>
      </c>
      <c r="D38" s="553"/>
      <c r="E38" s="569">
        <f t="shared" si="1"/>
        <v>0</v>
      </c>
      <c r="F38" s="439"/>
      <c r="G38" s="439"/>
      <c r="H38" s="439"/>
      <c r="I38" s="439"/>
      <c r="J38" s="439"/>
      <c r="K38" s="439"/>
      <c r="L38" s="405"/>
    </row>
    <row r="39" spans="1:12">
      <c r="A39" s="405"/>
      <c r="B39" s="451" t="s">
        <v>367</v>
      </c>
      <c r="C39" s="347">
        <f>C14</f>
        <v>0</v>
      </c>
      <c r="D39" s="348"/>
      <c r="E39" s="344">
        <f t="shared" si="1"/>
        <v>0</v>
      </c>
      <c r="F39" s="439"/>
      <c r="G39" s="439"/>
      <c r="H39" s="439"/>
      <c r="I39" s="439"/>
      <c r="J39" s="439"/>
      <c r="K39" s="439"/>
      <c r="L39" s="405"/>
    </row>
    <row r="40" spans="1:12">
      <c r="A40" s="405"/>
      <c r="B40" s="451" t="s">
        <v>725</v>
      </c>
      <c r="C40" s="347">
        <f>C15*((C4*2)-2)</f>
        <v>0</v>
      </c>
      <c r="D40" s="348"/>
      <c r="E40" s="344">
        <f t="shared" ref="E40" si="2">C40*D40</f>
        <v>0</v>
      </c>
      <c r="F40" s="439"/>
      <c r="G40" s="439"/>
      <c r="H40" s="439"/>
      <c r="I40" s="439"/>
      <c r="J40" s="439"/>
      <c r="K40" s="439"/>
      <c r="L40" s="405"/>
    </row>
    <row r="41" spans="1:12">
      <c r="A41" s="405"/>
      <c r="B41" s="451" t="s">
        <v>470</v>
      </c>
      <c r="C41" s="347">
        <f>C15</f>
        <v>0</v>
      </c>
      <c r="D41" s="353"/>
      <c r="E41" s="569">
        <f t="shared" si="1"/>
        <v>0</v>
      </c>
      <c r="F41" s="439"/>
      <c r="G41" s="439"/>
      <c r="H41" s="439"/>
      <c r="I41" s="439"/>
      <c r="J41" s="439"/>
      <c r="K41" s="439"/>
      <c r="L41" s="405"/>
    </row>
    <row r="42" spans="1:12">
      <c r="A42" s="405"/>
      <c r="B42" s="451" t="s">
        <v>504</v>
      </c>
      <c r="C42" s="347">
        <f>(C4-1)*(C14+C15)</f>
        <v>0</v>
      </c>
      <c r="D42" s="348"/>
      <c r="E42" s="344">
        <f t="shared" si="1"/>
        <v>0</v>
      </c>
      <c r="F42" s="439"/>
      <c r="G42" s="439"/>
      <c r="H42" s="439"/>
      <c r="I42" s="439"/>
      <c r="J42" s="439"/>
      <c r="K42" s="439"/>
      <c r="L42" s="405"/>
    </row>
    <row r="43" spans="1:12">
      <c r="A43" s="405"/>
      <c r="B43" s="451" t="s">
        <v>505</v>
      </c>
      <c r="C43" s="347">
        <f>(C4-1)*(C14+C15)</f>
        <v>0</v>
      </c>
      <c r="D43" s="348"/>
      <c r="E43" s="344">
        <f t="shared" si="1"/>
        <v>0</v>
      </c>
      <c r="F43" s="439"/>
      <c r="G43" s="439"/>
      <c r="H43" s="439"/>
      <c r="I43" s="439"/>
      <c r="J43" s="439"/>
      <c r="K43" s="439"/>
      <c r="L43" s="405"/>
    </row>
    <row r="44" spans="1:12">
      <c r="A44" s="405"/>
      <c r="B44" s="451" t="s">
        <v>828</v>
      </c>
      <c r="C44" s="347">
        <f>(C14+C15)</f>
        <v>0</v>
      </c>
      <c r="D44" s="348"/>
      <c r="E44" s="344">
        <f t="shared" si="1"/>
        <v>0</v>
      </c>
      <c r="F44" s="439"/>
      <c r="G44" s="439"/>
      <c r="H44" s="439"/>
      <c r="I44" s="439"/>
      <c r="J44" s="439"/>
      <c r="K44" s="439"/>
      <c r="L44" s="405"/>
    </row>
    <row r="45" spans="1:12">
      <c r="A45" s="405"/>
      <c r="B45" s="451" t="s">
        <v>408</v>
      </c>
      <c r="C45" s="347">
        <f>EVEN(ROUNDDOWN(IF(C16=1,(C2*(C15+C14)/0.5),0),0))</f>
        <v>0</v>
      </c>
      <c r="D45" s="348"/>
      <c r="E45" s="344">
        <f t="shared" si="1"/>
        <v>0</v>
      </c>
      <c r="F45" s="453"/>
      <c r="G45" s="439"/>
      <c r="H45" s="439"/>
      <c r="I45" s="439"/>
      <c r="J45" s="439"/>
      <c r="K45" s="439"/>
      <c r="L45" s="405"/>
    </row>
    <row r="46" spans="1:12">
      <c r="A46" s="405"/>
      <c r="B46" s="451" t="s">
        <v>479</v>
      </c>
      <c r="C46" s="347">
        <f>EVEN(ROUNDDOWN(IF(C16=0,(C2/0.5)*(C14+C15),0),0))</f>
        <v>0</v>
      </c>
      <c r="D46" s="348"/>
      <c r="E46" s="344">
        <f t="shared" si="1"/>
        <v>0</v>
      </c>
      <c r="F46" s="642"/>
      <c r="G46" s="439"/>
      <c r="H46" s="439"/>
      <c r="I46" s="439"/>
      <c r="J46" s="439"/>
      <c r="K46" s="439"/>
      <c r="L46" s="405"/>
    </row>
    <row r="47" spans="1:12">
      <c r="A47" s="405"/>
      <c r="B47" s="451" t="s">
        <v>456</v>
      </c>
      <c r="C47" s="347">
        <f>C2*(C14+C15)</f>
        <v>0</v>
      </c>
      <c r="D47" s="348"/>
      <c r="E47" s="344">
        <f t="shared" si="1"/>
        <v>0</v>
      </c>
      <c r="F47" s="647"/>
      <c r="G47" s="439"/>
      <c r="H47" s="439"/>
      <c r="I47" s="439"/>
      <c r="J47" s="439"/>
      <c r="K47" s="439"/>
      <c r="L47" s="405"/>
    </row>
    <row r="48" spans="1:12">
      <c r="A48" s="405"/>
      <c r="B48" s="451" t="s">
        <v>405</v>
      </c>
      <c r="C48" s="347">
        <f>C2*(C14+C15)</f>
        <v>0</v>
      </c>
      <c r="D48" s="348"/>
      <c r="E48" s="344">
        <f t="shared" si="1"/>
        <v>0</v>
      </c>
      <c r="F48" s="647"/>
      <c r="G48" s="439"/>
      <c r="H48" s="439"/>
      <c r="I48" s="439"/>
      <c r="J48" s="439"/>
      <c r="K48" s="439"/>
      <c r="L48" s="405"/>
    </row>
    <row r="49" spans="1:12">
      <c r="A49" s="405"/>
      <c r="B49" s="451" t="s">
        <v>406</v>
      </c>
      <c r="C49" s="347">
        <f>(C14+C15)</f>
        <v>0</v>
      </c>
      <c r="D49" s="348">
        <v>1</v>
      </c>
      <c r="E49" s="344">
        <f t="shared" si="1"/>
        <v>0</v>
      </c>
      <c r="F49" s="647"/>
      <c r="G49" s="439"/>
      <c r="H49" s="439"/>
      <c r="I49" s="439"/>
      <c r="J49" s="439"/>
      <c r="K49" s="439"/>
      <c r="L49" s="405"/>
    </row>
    <row r="50" spans="1:12">
      <c r="A50" s="405"/>
      <c r="B50" s="451" t="s">
        <v>407</v>
      </c>
      <c r="C50" s="347">
        <f>(C14+C15)</f>
        <v>0</v>
      </c>
      <c r="D50" s="348"/>
      <c r="E50" s="344">
        <f t="shared" si="1"/>
        <v>0</v>
      </c>
      <c r="F50" s="648"/>
      <c r="G50" s="439"/>
      <c r="H50" s="439"/>
      <c r="I50" s="439"/>
      <c r="J50" s="439"/>
      <c r="K50" s="439"/>
      <c r="L50" s="405"/>
    </row>
    <row r="51" spans="1:12">
      <c r="A51" s="405"/>
      <c r="B51" s="452" t="s">
        <v>506</v>
      </c>
      <c r="C51" s="354">
        <f>(C4-1)*(C14+C15)</f>
        <v>0</v>
      </c>
      <c r="D51" s="348"/>
      <c r="E51" s="344">
        <f t="shared" si="1"/>
        <v>0</v>
      </c>
      <c r="F51" s="648"/>
      <c r="G51" s="439"/>
      <c r="H51" s="439"/>
      <c r="I51" s="439"/>
      <c r="J51" s="439"/>
      <c r="K51" s="439"/>
      <c r="L51" s="405"/>
    </row>
    <row r="52" spans="1:12" ht="11.25" customHeight="1">
      <c r="A52" s="405"/>
      <c r="B52" s="452" t="s">
        <v>507</v>
      </c>
      <c r="C52" s="354">
        <f>(C4-1)*(C14+C15)</f>
        <v>0</v>
      </c>
      <c r="D52" s="348"/>
      <c r="E52" s="344">
        <f t="shared" si="1"/>
        <v>0</v>
      </c>
      <c r="F52" s="648"/>
      <c r="G52" s="439"/>
      <c r="H52" s="439"/>
      <c r="I52" s="439"/>
      <c r="J52" s="439"/>
      <c r="K52" s="439"/>
      <c r="L52" s="405"/>
    </row>
    <row r="53" spans="1:12">
      <c r="A53" s="405"/>
      <c r="B53" s="452" t="s">
        <v>454</v>
      </c>
      <c r="C53" s="354">
        <f>(C5+C6)*C14</f>
        <v>0</v>
      </c>
      <c r="D53" s="348"/>
      <c r="E53" s="344">
        <f t="shared" si="1"/>
        <v>0</v>
      </c>
      <c r="F53" s="649"/>
      <c r="G53" s="439"/>
      <c r="H53" s="439"/>
      <c r="I53" s="439"/>
      <c r="J53" s="439"/>
      <c r="K53" s="439"/>
      <c r="L53" s="405"/>
    </row>
    <row r="54" spans="1:12">
      <c r="A54" s="405"/>
      <c r="B54" s="452" t="s">
        <v>375</v>
      </c>
      <c r="C54" s="354">
        <f>C6*C14</f>
        <v>0</v>
      </c>
      <c r="D54" s="348"/>
      <c r="E54" s="344">
        <f t="shared" si="1"/>
        <v>0</v>
      </c>
      <c r="F54" s="650"/>
      <c r="G54" s="439"/>
      <c r="H54" s="439"/>
      <c r="I54" s="439"/>
      <c r="J54" s="439"/>
      <c r="K54" s="439"/>
      <c r="L54" s="405"/>
    </row>
    <row r="55" spans="1:12">
      <c r="A55" s="405"/>
      <c r="B55" s="452" t="s">
        <v>495</v>
      </c>
      <c r="C55" s="354">
        <f>C6*C14</f>
        <v>0</v>
      </c>
      <c r="D55" s="348"/>
      <c r="E55" s="344">
        <f t="shared" si="1"/>
        <v>0</v>
      </c>
      <c r="F55" s="650"/>
      <c r="G55" s="439"/>
      <c r="H55" s="439"/>
      <c r="I55" s="439"/>
      <c r="J55" s="439"/>
      <c r="K55" s="439"/>
      <c r="L55" s="405"/>
    </row>
    <row r="56" spans="1:12">
      <c r="A56" s="405"/>
      <c r="B56" s="452" t="s">
        <v>378</v>
      </c>
      <c r="C56" s="399">
        <f>C8*C15</f>
        <v>0</v>
      </c>
      <c r="D56" s="353"/>
      <c r="E56" s="400">
        <f t="shared" si="1"/>
        <v>0</v>
      </c>
      <c r="F56" s="650"/>
      <c r="G56" s="439"/>
      <c r="H56" s="439"/>
      <c r="I56" s="439"/>
      <c r="J56" s="439"/>
      <c r="K56" s="439"/>
      <c r="L56" s="405"/>
    </row>
    <row r="57" spans="1:12">
      <c r="A57" s="405"/>
      <c r="B57" s="452" t="s">
        <v>386</v>
      </c>
      <c r="C57" s="399">
        <f>C7*C15</f>
        <v>0</v>
      </c>
      <c r="D57" s="353"/>
      <c r="E57" s="400">
        <f t="shared" si="1"/>
        <v>0</v>
      </c>
      <c r="F57" s="650"/>
      <c r="G57" s="439"/>
      <c r="H57" s="439"/>
      <c r="I57" s="439"/>
      <c r="J57" s="439"/>
      <c r="K57" s="439"/>
      <c r="L57" s="405"/>
    </row>
    <row r="58" spans="1:12">
      <c r="A58" s="405"/>
      <c r="B58" s="452" t="s">
        <v>387</v>
      </c>
      <c r="C58" s="399">
        <f>C7*C15</f>
        <v>0</v>
      </c>
      <c r="D58" s="353"/>
      <c r="E58" s="400">
        <f t="shared" si="1"/>
        <v>0</v>
      </c>
      <c r="F58" s="650"/>
      <c r="G58" s="439"/>
      <c r="H58" s="439"/>
      <c r="I58" s="439"/>
      <c r="J58" s="439"/>
      <c r="K58" s="439"/>
      <c r="L58" s="405"/>
    </row>
    <row r="59" spans="1:12">
      <c r="A59" s="405"/>
      <c r="B59" s="452" t="s">
        <v>377</v>
      </c>
      <c r="C59" s="399">
        <f>C8*C15</f>
        <v>0</v>
      </c>
      <c r="D59" s="353"/>
      <c r="E59" s="400">
        <f t="shared" si="1"/>
        <v>0</v>
      </c>
      <c r="F59" s="650"/>
      <c r="G59" s="439"/>
      <c r="H59" s="439"/>
      <c r="I59" s="439"/>
      <c r="J59" s="439"/>
      <c r="K59" s="439"/>
      <c r="L59" s="405"/>
    </row>
    <row r="60" spans="1:12">
      <c r="A60" s="405"/>
      <c r="B60" s="451" t="s">
        <v>480</v>
      </c>
      <c r="C60" s="347">
        <f>C2*C15</f>
        <v>0</v>
      </c>
      <c r="D60" s="353"/>
      <c r="E60" s="344">
        <f t="shared" si="1"/>
        <v>0</v>
      </c>
      <c r="F60" s="650"/>
      <c r="G60" s="439"/>
      <c r="H60" s="439"/>
      <c r="I60" s="439"/>
      <c r="J60" s="439"/>
      <c r="K60" s="439"/>
      <c r="L60" s="405"/>
    </row>
    <row r="61" spans="1:12" ht="11.25" customHeight="1">
      <c r="A61" s="405"/>
      <c r="B61" s="452" t="s">
        <v>380</v>
      </c>
      <c r="C61" s="354">
        <f>C5*C14</f>
        <v>0</v>
      </c>
      <c r="D61" s="348"/>
      <c r="E61" s="344">
        <f t="shared" si="1"/>
        <v>0</v>
      </c>
      <c r="F61" s="650"/>
      <c r="G61" s="439"/>
      <c r="H61" s="439"/>
      <c r="I61" s="439"/>
      <c r="J61" s="439"/>
      <c r="K61" s="439"/>
      <c r="L61" s="405"/>
    </row>
    <row r="62" spans="1:12" ht="11.25" customHeight="1">
      <c r="A62" s="405"/>
      <c r="B62" s="525" t="s">
        <v>145</v>
      </c>
      <c r="C62" s="506">
        <f>C18</f>
        <v>0</v>
      </c>
      <c r="D62" s="522"/>
      <c r="E62" s="400">
        <f t="shared" si="1"/>
        <v>0</v>
      </c>
      <c r="F62" s="650"/>
      <c r="G62" s="439"/>
      <c r="H62" s="439"/>
      <c r="I62" s="439"/>
      <c r="J62" s="439"/>
      <c r="K62" s="439"/>
      <c r="L62" s="405"/>
    </row>
    <row r="63" spans="1:12" ht="11.25" customHeight="1">
      <c r="A63" s="405"/>
      <c r="B63" s="525" t="s">
        <v>148</v>
      </c>
      <c r="C63" s="506">
        <f>C17</f>
        <v>0</v>
      </c>
      <c r="D63" s="522"/>
      <c r="E63" s="400">
        <f t="shared" si="1"/>
        <v>0</v>
      </c>
      <c r="F63" s="650"/>
      <c r="G63" s="439"/>
      <c r="H63" s="439"/>
      <c r="I63" s="439"/>
      <c r="J63" s="439"/>
      <c r="K63" s="439"/>
      <c r="L63" s="405"/>
    </row>
    <row r="64" spans="1:12" ht="11.25" customHeight="1">
      <c r="A64" s="405"/>
      <c r="B64" s="525" t="s">
        <v>689</v>
      </c>
      <c r="C64" s="506">
        <f>C19</f>
        <v>0</v>
      </c>
      <c r="D64" s="522"/>
      <c r="E64" s="400">
        <f t="shared" si="1"/>
        <v>0</v>
      </c>
      <c r="F64" s="650"/>
      <c r="G64" s="439"/>
      <c r="H64" s="439"/>
      <c r="I64" s="439"/>
      <c r="J64" s="439"/>
      <c r="K64" s="439"/>
      <c r="L64" s="405"/>
    </row>
    <row r="65" spans="1:12" ht="12" thickBot="1">
      <c r="A65" s="405"/>
      <c r="B65" s="454" t="s">
        <v>829</v>
      </c>
      <c r="C65" s="402">
        <f>C5*C14</f>
        <v>0</v>
      </c>
      <c r="D65" s="403"/>
      <c r="E65" s="404">
        <f t="shared" si="1"/>
        <v>0</v>
      </c>
      <c r="F65" s="651"/>
      <c r="G65" s="439"/>
      <c r="H65" s="439"/>
      <c r="I65" s="439"/>
      <c r="J65" s="439"/>
      <c r="K65" s="439"/>
      <c r="L65" s="405"/>
    </row>
    <row r="66" spans="1:12" ht="13.5" thickBot="1">
      <c r="A66" s="405"/>
      <c r="B66" s="439"/>
      <c r="C66" s="439"/>
      <c r="D66" s="455" t="s">
        <v>9</v>
      </c>
      <c r="E66" s="641">
        <f>SUMIF(E22:E65,"&gt;0",E22:E65)</f>
        <v>0</v>
      </c>
      <c r="F66" s="651"/>
      <c r="G66" s="439"/>
      <c r="H66" s="439"/>
      <c r="I66" s="439"/>
      <c r="J66" s="439"/>
      <c r="K66" s="439"/>
      <c r="L66" s="405"/>
    </row>
    <row r="67" spans="1:12">
      <c r="A67" s="405"/>
      <c r="B67" s="439"/>
      <c r="C67" s="439"/>
      <c r="D67" s="439"/>
      <c r="E67" s="439"/>
      <c r="F67" s="651"/>
      <c r="G67" s="439"/>
      <c r="H67" s="439"/>
      <c r="I67" s="439"/>
      <c r="J67" s="439"/>
      <c r="K67" s="439"/>
      <c r="L67" s="405"/>
    </row>
    <row r="68" spans="1:12">
      <c r="A68" s="405"/>
      <c r="B68" s="439"/>
      <c r="C68" s="439"/>
      <c r="D68" s="439"/>
      <c r="E68" s="439"/>
      <c r="F68" s="439"/>
      <c r="G68" s="439"/>
      <c r="H68" s="439"/>
      <c r="I68" s="439"/>
      <c r="J68" s="439"/>
      <c r="K68" s="439"/>
      <c r="L68" s="405"/>
    </row>
    <row r="69" spans="1:12" ht="11.25" customHeight="1">
      <c r="A69" s="405"/>
      <c r="B69" s="439"/>
      <c r="C69" s="439"/>
      <c r="D69" s="439"/>
      <c r="E69" s="439"/>
      <c r="F69" s="439"/>
      <c r="G69" s="439"/>
      <c r="H69" s="439"/>
      <c r="I69" s="439"/>
      <c r="J69" s="439"/>
      <c r="K69" s="439"/>
      <c r="L69" s="405"/>
    </row>
    <row r="70" spans="1:12" ht="11.25" customHeight="1">
      <c r="A70" s="405"/>
      <c r="B70" s="405"/>
      <c r="C70" s="405"/>
      <c r="D70" s="405"/>
      <c r="E70" s="405"/>
      <c r="F70" s="405"/>
      <c r="G70" s="405"/>
      <c r="H70" s="405"/>
      <c r="I70" s="405"/>
      <c r="J70" s="405"/>
      <c r="K70" s="405"/>
      <c r="L70" s="405"/>
    </row>
    <row r="71" spans="1:12">
      <c r="A71" s="405"/>
      <c r="B71" s="405"/>
      <c r="C71" s="405"/>
      <c r="D71" s="405"/>
      <c r="E71" s="405"/>
      <c r="F71" s="405"/>
      <c r="G71" s="405"/>
      <c r="H71" s="405"/>
      <c r="I71" s="405"/>
      <c r="J71" s="405"/>
      <c r="K71" s="405"/>
      <c r="L71" s="405"/>
    </row>
    <row r="72" spans="1:12">
      <c r="A72" s="405"/>
      <c r="B72" s="405"/>
      <c r="C72" s="405"/>
      <c r="D72" s="405"/>
      <c r="E72" s="405"/>
      <c r="F72" s="405"/>
      <c r="G72" s="405"/>
      <c r="H72" s="405"/>
      <c r="I72" s="405"/>
      <c r="J72" s="405"/>
      <c r="K72" s="405"/>
      <c r="L72" s="405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498" priority="29" operator="greaterThan">
      <formula>0</formula>
    </cfRule>
  </conditionalFormatting>
  <conditionalFormatting sqref="C5:C8">
    <cfRule type="cellIs" dxfId="497" priority="27" operator="greaterThan">
      <formula>0</formula>
    </cfRule>
  </conditionalFormatting>
  <conditionalFormatting sqref="C9">
    <cfRule type="cellIs" dxfId="496" priority="30" operator="greaterThan">
      <formula>0</formula>
    </cfRule>
  </conditionalFormatting>
  <conditionalFormatting sqref="C9">
    <cfRule type="cellIs" dxfId="495" priority="31" operator="greaterThan">
      <formula>0</formula>
    </cfRule>
  </conditionalFormatting>
  <conditionalFormatting sqref="C14:C15">
    <cfRule type="cellIs" dxfId="494" priority="28" operator="greaterThan">
      <formula>0</formula>
    </cfRule>
  </conditionalFormatting>
  <conditionalFormatting sqref="J3:K20">
    <cfRule type="cellIs" dxfId="493" priority="5" operator="greaterThan">
      <formula>0</formula>
    </cfRule>
    <cfRule type="cellIs" dxfId="492" priority="22" operator="greaterThan">
      <formula>0</formula>
    </cfRule>
    <cfRule type="cellIs" dxfId="491" priority="23" operator="greaterThan">
      <formula>0</formula>
    </cfRule>
  </conditionalFormatting>
  <conditionalFormatting sqref="I3:I20">
    <cfRule type="cellIs" dxfId="490" priority="24" operator="equal">
      <formula>"НЕТ"</formula>
    </cfRule>
    <cfRule type="cellIs" dxfId="489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488" priority="19" operator="greaterThan">
      <formula>0</formula>
    </cfRule>
    <cfRule type="cellIs" dxfId="487" priority="20" operator="greaterThan">
      <formula>0</formula>
    </cfRule>
    <cfRule type="cellIs" dxfId="486" priority="21" operator="greaterThan">
      <formula>0</formula>
    </cfRule>
  </conditionalFormatting>
  <conditionalFormatting sqref="C41:E41">
    <cfRule type="cellIs" dxfId="485" priority="16" operator="greaterThan">
      <formula>0</formula>
    </cfRule>
    <cfRule type="cellIs" dxfId="484" priority="17" operator="greaterThan">
      <formula>0</formula>
    </cfRule>
    <cfRule type="cellIs" dxfId="483" priority="18" operator="greaterThan">
      <formula>0</formula>
    </cfRule>
  </conditionalFormatting>
  <conditionalFormatting sqref="C57:E58">
    <cfRule type="cellIs" dxfId="482" priority="14" operator="greaterThan">
      <formula>0</formula>
    </cfRule>
  </conditionalFormatting>
  <conditionalFormatting sqref="C56:E56">
    <cfRule type="cellIs" dxfId="481" priority="15" operator="greaterThan">
      <formula>0</formula>
    </cfRule>
  </conditionalFormatting>
  <conditionalFormatting sqref="C59:E59">
    <cfRule type="cellIs" dxfId="480" priority="13" operator="greaterThan">
      <formula>0</formula>
    </cfRule>
  </conditionalFormatting>
  <conditionalFormatting sqref="C56:E59">
    <cfRule type="cellIs" dxfId="479" priority="10" operator="greaterThan">
      <formula>0</formula>
    </cfRule>
    <cfRule type="cellIs" dxfId="478" priority="11" operator="greaterThan">
      <formula>0</formula>
    </cfRule>
    <cfRule type="cellIs" dxfId="477" priority="12" operator="greaterThan">
      <formula>0</formula>
    </cfRule>
  </conditionalFormatting>
  <conditionalFormatting sqref="C60:E60">
    <cfRule type="cellIs" dxfId="476" priority="9" operator="greaterThan">
      <formula>0</formula>
    </cfRule>
  </conditionalFormatting>
  <conditionalFormatting sqref="E66">
    <cfRule type="cellIs" dxfId="475" priority="4" operator="greaterThan">
      <formula>0</formula>
    </cfRule>
    <cfRule type="cellIs" dxfId="474" priority="8" operator="greaterThan">
      <formula>0</formula>
    </cfRule>
  </conditionalFormatting>
  <conditionalFormatting sqref="C2:C16">
    <cfRule type="cellIs" dxfId="473" priority="7" operator="greaterThan">
      <formula>0</formula>
    </cfRule>
  </conditionalFormatting>
  <conditionalFormatting sqref="C41:E61 C65:E65">
    <cfRule type="cellIs" dxfId="472" priority="6" operator="greaterThan">
      <formula>0</formula>
    </cfRule>
  </conditionalFormatting>
  <conditionalFormatting sqref="C22:E38">
    <cfRule type="cellIs" dxfId="471" priority="3" operator="greaterThan">
      <formula>0</formula>
    </cfRule>
  </conditionalFormatting>
  <conditionalFormatting sqref="C17:C19">
    <cfRule type="cellIs" dxfId="470" priority="2" operator="greaterThan">
      <formula>0</formula>
    </cfRule>
  </conditionalFormatting>
  <conditionalFormatting sqref="C62:E64">
    <cfRule type="cellIs" dxfId="46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05"/>
      <c r="B1" s="1286"/>
      <c r="C1" s="1287"/>
      <c r="D1" s="1287"/>
      <c r="E1" s="1287"/>
      <c r="F1" s="405"/>
      <c r="G1" s="405"/>
      <c r="H1" s="405"/>
      <c r="I1" s="405"/>
      <c r="J1" s="405"/>
      <c r="K1" s="405"/>
      <c r="L1" s="405"/>
    </row>
    <row r="2" spans="1:12" ht="12" customHeight="1" thickBot="1">
      <c r="A2" s="405"/>
      <c r="B2" s="407" t="s">
        <v>666</v>
      </c>
      <c r="C2" s="575">
        <v>0</v>
      </c>
      <c r="D2" s="1231" t="s">
        <v>595</v>
      </c>
      <c r="E2" s="1232"/>
      <c r="F2" s="1233"/>
      <c r="G2" s="405"/>
      <c r="H2" s="409" t="s">
        <v>485</v>
      </c>
      <c r="I2" s="622" t="s">
        <v>604</v>
      </c>
      <c r="J2" s="410" t="s">
        <v>4</v>
      </c>
      <c r="K2" s="411" t="s">
        <v>8</v>
      </c>
      <c r="L2" s="405"/>
    </row>
    <row r="3" spans="1:12" ht="12" customHeight="1" thickBot="1">
      <c r="A3" s="405"/>
      <c r="B3" s="412" t="s">
        <v>667</v>
      </c>
      <c r="C3" s="576">
        <v>0</v>
      </c>
      <c r="D3" s="1234"/>
      <c r="E3" s="1235"/>
      <c r="F3" s="1236"/>
      <c r="G3" s="405"/>
      <c r="H3" s="413" t="s">
        <v>489</v>
      </c>
      <c r="I3" s="623" t="str">
        <f>IF(AND($C$7+$C$8+$C$11=1,$C$9+$C$10+$C$12=0,C13=1),"ДА","НЕТ")</f>
        <v>НЕТ</v>
      </c>
      <c r="J3" s="318"/>
      <c r="K3" s="319">
        <f>IF(I3="ДА",$C$21*J3,0)</f>
        <v>0</v>
      </c>
      <c r="L3" s="405"/>
    </row>
    <row r="4" spans="1:12" ht="12" customHeight="1">
      <c r="A4" s="405"/>
      <c r="B4" s="652" t="s">
        <v>509</v>
      </c>
      <c r="C4" s="583">
        <v>0</v>
      </c>
      <c r="D4" s="1294" t="s">
        <v>128</v>
      </c>
      <c r="E4" s="1295"/>
      <c r="F4" s="1296"/>
      <c r="G4" s="405"/>
      <c r="H4" s="418" t="s">
        <v>486</v>
      </c>
      <c r="I4" s="624" t="str">
        <f>IF(AND($C$7+$C$8+$C$11=1,$C$9+$C$10+$C$12=0,$C$13=3),"ДА","НЕТ")</f>
        <v>НЕТ</v>
      </c>
      <c r="J4" s="322"/>
      <c r="K4" s="323">
        <f t="shared" ref="K4:K19" si="0">IF(I4="ДА",$C$21*J4,0)</f>
        <v>0</v>
      </c>
      <c r="L4" s="405"/>
    </row>
    <row r="5" spans="1:12" ht="12" customHeight="1">
      <c r="A5" s="405"/>
      <c r="B5" s="653" t="s">
        <v>510</v>
      </c>
      <c r="C5" s="584">
        <v>0</v>
      </c>
      <c r="D5" s="1297"/>
      <c r="E5" s="1298"/>
      <c r="F5" s="1299"/>
      <c r="G5" s="405"/>
      <c r="H5" s="418" t="s">
        <v>591</v>
      </c>
      <c r="I5" s="624" t="str">
        <f>IF(AND($C$7+$C$8+$C$11=1,$C$9+$C$10+$C$12=0,$C$13=3),"ДА","НЕТ")</f>
        <v>НЕТ</v>
      </c>
      <c r="J5" s="322"/>
      <c r="K5" s="323">
        <f t="shared" si="0"/>
        <v>0</v>
      </c>
      <c r="L5" s="405"/>
    </row>
    <row r="6" spans="1:12" ht="12" customHeight="1" thickBot="1">
      <c r="A6" s="405"/>
      <c r="B6" s="654" t="s">
        <v>674</v>
      </c>
      <c r="C6" s="582">
        <v>0</v>
      </c>
      <c r="D6" s="1300"/>
      <c r="E6" s="1301"/>
      <c r="F6" s="1302"/>
      <c r="G6" s="405"/>
      <c r="H6" s="418" t="s">
        <v>487</v>
      </c>
      <c r="I6" s="624" t="str">
        <f>IF(AND($C$7+$C$8+$C$11=1,$C$9+$C$10+$C$12=0,$C$13=2),"ДА","НЕТ")</f>
        <v>НЕТ</v>
      </c>
      <c r="J6" s="322"/>
      <c r="K6" s="323">
        <f t="shared" si="0"/>
        <v>0</v>
      </c>
      <c r="L6" s="405"/>
    </row>
    <row r="7" spans="1:12" ht="12" customHeight="1">
      <c r="A7" s="405"/>
      <c r="B7" s="655" t="s">
        <v>498</v>
      </c>
      <c r="C7" s="578">
        <v>0</v>
      </c>
      <c r="D7" s="656" t="s">
        <v>287</v>
      </c>
      <c r="E7" s="657" t="s">
        <v>255</v>
      </c>
      <c r="F7" s="1303" t="s">
        <v>597</v>
      </c>
      <c r="G7" s="405"/>
      <c r="H7" s="418" t="s">
        <v>488</v>
      </c>
      <c r="I7" s="624" t="str">
        <f>IF(AND($C$7+$C$8+$C$11=1,$C$9+$C$10+$C$12=0,$C$13=2),"ДА","НЕТ")</f>
        <v>НЕТ</v>
      </c>
      <c r="J7" s="322"/>
      <c r="K7" s="323">
        <f t="shared" si="0"/>
        <v>0</v>
      </c>
      <c r="L7" s="405"/>
    </row>
    <row r="8" spans="1:12" ht="12" customHeight="1">
      <c r="A8" s="405"/>
      <c r="B8" s="653" t="s">
        <v>499</v>
      </c>
      <c r="C8" s="581">
        <v>0</v>
      </c>
      <c r="D8" s="658" t="s">
        <v>287</v>
      </c>
      <c r="E8" s="659" t="s">
        <v>255</v>
      </c>
      <c r="F8" s="1304"/>
      <c r="G8" s="405"/>
      <c r="H8" s="418" t="s">
        <v>494</v>
      </c>
      <c r="I8" s="624" t="str">
        <f>IF(AND($C$7+$C$8+$C$11=1,$C$9+$C$10+$C$12=0,$C$13=2),"ДА","НЕТ")</f>
        <v>НЕТ</v>
      </c>
      <c r="J8" s="322"/>
      <c r="K8" s="323">
        <f t="shared" si="0"/>
        <v>0</v>
      </c>
      <c r="L8" s="405"/>
    </row>
    <row r="9" spans="1:12" ht="12" customHeight="1">
      <c r="A9" s="405"/>
      <c r="B9" s="655" t="s">
        <v>500</v>
      </c>
      <c r="C9" s="578">
        <v>0</v>
      </c>
      <c r="D9" s="656" t="s">
        <v>287</v>
      </c>
      <c r="E9" s="657" t="s">
        <v>255</v>
      </c>
      <c r="F9" s="1304"/>
      <c r="G9" s="405"/>
      <c r="H9" s="413" t="s">
        <v>590</v>
      </c>
      <c r="I9" s="624" t="str">
        <f>IF(AND($C$7+$C$8+$C$11=1,$C$9+$C$10+$C$12=0,$C$13=1),"ДА","НЕТ")</f>
        <v>НЕТ</v>
      </c>
      <c r="J9" s="318"/>
      <c r="K9" s="319">
        <f t="shared" si="0"/>
        <v>0</v>
      </c>
      <c r="L9" s="405"/>
    </row>
    <row r="10" spans="1:12" ht="12" customHeight="1">
      <c r="A10" s="405"/>
      <c r="B10" s="653" t="s">
        <v>501</v>
      </c>
      <c r="C10" s="581">
        <v>0</v>
      </c>
      <c r="D10" s="658" t="s">
        <v>287</v>
      </c>
      <c r="E10" s="659" t="s">
        <v>255</v>
      </c>
      <c r="F10" s="1304"/>
      <c r="G10" s="405"/>
      <c r="H10" s="413" t="s">
        <v>383</v>
      </c>
      <c r="I10" s="624" t="str">
        <f>IF(AND($C$7+$C$8+$C$11+$C$12=0,$C$9+$C$10=1,$C$13=1),"ДА","НЕТ")</f>
        <v>НЕТ</v>
      </c>
      <c r="J10" s="325"/>
      <c r="K10" s="326">
        <f t="shared" si="0"/>
        <v>0</v>
      </c>
      <c r="L10" s="405"/>
    </row>
    <row r="11" spans="1:12" ht="12" customHeight="1">
      <c r="A11" s="405"/>
      <c r="B11" s="653" t="s">
        <v>587</v>
      </c>
      <c r="C11" s="581">
        <v>0</v>
      </c>
      <c r="D11" s="658" t="s">
        <v>287</v>
      </c>
      <c r="E11" s="659" t="s">
        <v>255</v>
      </c>
      <c r="F11" s="1304"/>
      <c r="G11" s="405"/>
      <c r="H11" s="416" t="s">
        <v>384</v>
      </c>
      <c r="I11" s="624" t="str">
        <f>IF(AND($C$7+$C$8+$C$11+$C$12=0,$C$9+$C$10=1,$C$13=1),"ДА","НЕТ")</f>
        <v>НЕТ</v>
      </c>
      <c r="J11" s="325"/>
      <c r="K11" s="326">
        <f t="shared" si="0"/>
        <v>0</v>
      </c>
      <c r="L11" s="405"/>
    </row>
    <row r="12" spans="1:12" ht="12" customHeight="1" thickBot="1">
      <c r="A12" s="405"/>
      <c r="B12" s="654" t="s">
        <v>588</v>
      </c>
      <c r="C12" s="585">
        <v>0</v>
      </c>
      <c r="D12" s="656" t="s">
        <v>287</v>
      </c>
      <c r="E12" s="657" t="s">
        <v>255</v>
      </c>
      <c r="F12" s="1305"/>
      <c r="G12" s="405"/>
      <c r="H12" s="416" t="s">
        <v>385</v>
      </c>
      <c r="I12" s="624" t="str">
        <f>IF(AND($C$7+$C$8+$C$11+$C$12=0,$C$9+$C$10=1,$C$13=1),"ДА","НЕТ")</f>
        <v>НЕТ</v>
      </c>
      <c r="J12" s="328"/>
      <c r="K12" s="326">
        <f t="shared" si="0"/>
        <v>0</v>
      </c>
      <c r="L12" s="405"/>
    </row>
    <row r="13" spans="1:12" ht="12" customHeight="1" thickBot="1">
      <c r="A13" s="405"/>
      <c r="B13" s="429" t="s">
        <v>589</v>
      </c>
      <c r="C13" s="548">
        <v>0</v>
      </c>
      <c r="D13" s="433" t="s">
        <v>619</v>
      </c>
      <c r="E13" s="434" t="s">
        <v>620</v>
      </c>
      <c r="F13" s="436" t="s">
        <v>621</v>
      </c>
      <c r="G13" s="405"/>
      <c r="H13" s="416" t="s">
        <v>592</v>
      </c>
      <c r="I13" s="624" t="str">
        <f>IF(AND($C$7+$C$8+$C$9+$C$10+$C$11=0,$C$12=1,$C$13=1),"ДА","НЕТ")</f>
        <v>НЕТ</v>
      </c>
      <c r="J13" s="328"/>
      <c r="K13" s="326">
        <f t="shared" si="0"/>
        <v>0</v>
      </c>
      <c r="L13" s="405"/>
    </row>
    <row r="14" spans="1:12" ht="12" customHeight="1" thickBot="1">
      <c r="A14" s="405"/>
      <c r="B14" s="660" t="s">
        <v>393</v>
      </c>
      <c r="C14" s="579">
        <v>0</v>
      </c>
      <c r="D14" s="661" t="s">
        <v>394</v>
      </c>
      <c r="E14" s="662" t="s">
        <v>395</v>
      </c>
      <c r="F14" s="1288"/>
      <c r="G14" s="405"/>
      <c r="H14" s="416" t="s">
        <v>592</v>
      </c>
      <c r="I14" s="624" t="str">
        <f>IF(AND($C$7+$C$8+$C$9+$C$10+$C$11=0,$C$12=1,$C$13=1),"ДА","НЕТ")</f>
        <v>НЕТ</v>
      </c>
      <c r="J14" s="328"/>
      <c r="K14" s="326">
        <f t="shared" si="0"/>
        <v>0</v>
      </c>
      <c r="L14" s="405"/>
    </row>
    <row r="15" spans="1:12" ht="12" customHeight="1" thickBot="1">
      <c r="A15" s="405"/>
      <c r="B15" s="663" t="s">
        <v>543</v>
      </c>
      <c r="C15" s="577">
        <v>0</v>
      </c>
      <c r="D15" s="664" t="s">
        <v>287</v>
      </c>
      <c r="E15" s="665" t="s">
        <v>255</v>
      </c>
      <c r="F15" s="1289"/>
      <c r="G15" s="405"/>
      <c r="H15" s="413" t="s">
        <v>388</v>
      </c>
      <c r="I15" s="624" t="str">
        <f>IF(AND($C$7+$C$8+$C$11+$C$12=0,$C$9+$C$10=1,$C$13=2),"ДА","НЕТ")</f>
        <v>НЕТ</v>
      </c>
      <c r="J15" s="325"/>
      <c r="K15" s="326">
        <f t="shared" si="0"/>
        <v>0</v>
      </c>
      <c r="L15" s="405"/>
    </row>
    <row r="16" spans="1:12" ht="12" customHeight="1" thickBot="1">
      <c r="A16" s="405"/>
      <c r="B16" s="663" t="s">
        <v>358</v>
      </c>
      <c r="C16" s="580">
        <v>0</v>
      </c>
      <c r="D16" s="664" t="s">
        <v>417</v>
      </c>
      <c r="E16" s="665" t="s">
        <v>418</v>
      </c>
      <c r="F16" s="1290"/>
      <c r="G16" s="405"/>
      <c r="H16" s="416" t="s">
        <v>389</v>
      </c>
      <c r="I16" s="624" t="str">
        <f>IF(AND($C$7+$C$8+$C$11+$C$12=0,$C$9+$C$10=1,$C$13=2),"ДА","НЕТ")</f>
        <v>НЕТ</v>
      </c>
      <c r="J16" s="325"/>
      <c r="K16" s="326">
        <f t="shared" si="0"/>
        <v>0</v>
      </c>
      <c r="L16" s="405"/>
    </row>
    <row r="17" spans="1:12" ht="12" customHeight="1">
      <c r="A17" s="405"/>
      <c r="B17" s="655" t="s">
        <v>361</v>
      </c>
      <c r="C17" s="578">
        <v>0</v>
      </c>
      <c r="D17" s="666" t="s">
        <v>287</v>
      </c>
      <c r="E17" s="667" t="s">
        <v>255</v>
      </c>
      <c r="F17" s="1239" t="s">
        <v>597</v>
      </c>
      <c r="G17" s="405"/>
      <c r="H17" s="416" t="s">
        <v>390</v>
      </c>
      <c r="I17" s="624" t="str">
        <f>IF(AND($C$7+$C$8+$C$11+$C$12=0,$C$9+$C$10=1,$C$13=2),"ДА","НЕТ")</f>
        <v>НЕТ</v>
      </c>
      <c r="J17" s="325"/>
      <c r="K17" s="323">
        <f t="shared" si="0"/>
        <v>0</v>
      </c>
      <c r="L17" s="405"/>
    </row>
    <row r="18" spans="1:12" ht="12" customHeight="1">
      <c r="A18" s="405"/>
      <c r="B18" s="653" t="s">
        <v>362</v>
      </c>
      <c r="C18" s="581">
        <v>0</v>
      </c>
      <c r="D18" s="658" t="s">
        <v>287</v>
      </c>
      <c r="E18" s="659" t="s">
        <v>255</v>
      </c>
      <c r="F18" s="1240"/>
      <c r="G18" s="405"/>
      <c r="H18" s="413" t="s">
        <v>593</v>
      </c>
      <c r="I18" s="623" t="str">
        <f>IF(AND($C$7+$C$8+$C$9+$C$10+$C$11=0,$C$12=1,$C$13=2),"ДА","НЕТ")</f>
        <v>НЕТ</v>
      </c>
      <c r="J18" s="329"/>
      <c r="K18" s="330">
        <f t="shared" si="0"/>
        <v>0</v>
      </c>
      <c r="L18" s="405"/>
    </row>
    <row r="19" spans="1:12" ht="12" customHeight="1" thickBot="1">
      <c r="A19" s="405"/>
      <c r="B19" s="653" t="s">
        <v>467</v>
      </c>
      <c r="C19" s="581">
        <v>0</v>
      </c>
      <c r="D19" s="658" t="s">
        <v>287</v>
      </c>
      <c r="E19" s="659" t="s">
        <v>255</v>
      </c>
      <c r="F19" s="1240"/>
      <c r="G19" s="405"/>
      <c r="H19" s="437" t="s">
        <v>594</v>
      </c>
      <c r="I19" s="634" t="str">
        <f>IF(AND($C$7+$C$8+$C$9+$C$10+$C$11=0,$C$12=1,$C$13=2),"ДА","НЕТ")</f>
        <v>НЕТ</v>
      </c>
      <c r="J19" s="332"/>
      <c r="K19" s="333">
        <f t="shared" si="0"/>
        <v>0</v>
      </c>
      <c r="L19" s="405"/>
    </row>
    <row r="20" spans="1:12" ht="12" customHeight="1" thickBot="1">
      <c r="A20" s="405"/>
      <c r="B20" s="653" t="s">
        <v>466</v>
      </c>
      <c r="C20" s="581">
        <v>0</v>
      </c>
      <c r="D20" s="668" t="s">
        <v>287</v>
      </c>
      <c r="E20" s="669" t="s">
        <v>255</v>
      </c>
      <c r="F20" s="1241"/>
      <c r="G20" s="405"/>
      <c r="H20" s="405"/>
      <c r="I20" s="405"/>
      <c r="J20" s="405"/>
      <c r="K20" s="405"/>
      <c r="L20" s="405"/>
    </row>
    <row r="21" spans="1:12" ht="12" customHeight="1" thickBot="1">
      <c r="A21" s="405"/>
      <c r="B21" s="663" t="s">
        <v>123</v>
      </c>
      <c r="C21" s="577">
        <v>0</v>
      </c>
      <c r="D21" s="1291" t="s">
        <v>675</v>
      </c>
      <c r="E21" s="1292"/>
      <c r="F21" s="1293"/>
      <c r="G21" s="405"/>
      <c r="H21" s="405"/>
      <c r="I21" s="405"/>
      <c r="J21" s="405"/>
      <c r="K21" s="405"/>
      <c r="L21" s="405"/>
    </row>
    <row r="22" spans="1:12" ht="12" customHeight="1" thickBot="1">
      <c r="A22" s="405"/>
      <c r="B22" s="670" t="s">
        <v>502</v>
      </c>
      <c r="C22" s="582">
        <v>0</v>
      </c>
      <c r="D22" s="1291" t="s">
        <v>540</v>
      </c>
      <c r="E22" s="1292"/>
      <c r="F22" s="1293"/>
      <c r="G22" s="405"/>
      <c r="H22" s="405"/>
      <c r="I22" s="405"/>
      <c r="J22" s="405"/>
      <c r="K22" s="405"/>
      <c r="L22" s="405"/>
    </row>
    <row r="23" spans="1:12" ht="12" customHeight="1">
      <c r="A23" s="405"/>
      <c r="B23" s="729" t="s">
        <v>147</v>
      </c>
      <c r="C23" s="464">
        <v>0</v>
      </c>
      <c r="D23" s="1243" t="s">
        <v>686</v>
      </c>
      <c r="E23" s="1243"/>
      <c r="F23" s="1244"/>
      <c r="G23" s="405"/>
      <c r="H23" s="405"/>
      <c r="I23" s="405"/>
      <c r="J23" s="405"/>
      <c r="K23" s="405"/>
      <c r="L23" s="405"/>
    </row>
    <row r="24" spans="1:12" ht="12" customHeight="1" thickBot="1">
      <c r="A24" s="405"/>
      <c r="B24" s="730" t="s">
        <v>146</v>
      </c>
      <c r="C24" s="463">
        <v>0</v>
      </c>
      <c r="D24" s="1249" t="s">
        <v>687</v>
      </c>
      <c r="E24" s="1249"/>
      <c r="F24" s="1250"/>
      <c r="G24" s="405"/>
      <c r="H24" s="405"/>
      <c r="I24" s="405"/>
      <c r="J24" s="405"/>
      <c r="K24" s="405"/>
      <c r="L24" s="405"/>
    </row>
    <row r="25" spans="1:12" ht="12" customHeight="1" thickBot="1">
      <c r="A25" s="405"/>
      <c r="B25" s="671"/>
      <c r="C25" s="671"/>
      <c r="D25" s="671"/>
      <c r="E25" s="671"/>
      <c r="F25" s="640"/>
      <c r="G25" s="405"/>
      <c r="H25" s="405"/>
      <c r="I25" s="405"/>
      <c r="J25" s="405"/>
      <c r="K25" s="405"/>
      <c r="L25" s="405"/>
    </row>
    <row r="26" spans="1:12" ht="12" customHeight="1" thickBot="1">
      <c r="A26" s="405"/>
      <c r="B26" s="672" t="s">
        <v>5</v>
      </c>
      <c r="C26" s="673" t="s">
        <v>0</v>
      </c>
      <c r="D26" s="674" t="s">
        <v>4</v>
      </c>
      <c r="E26" s="675" t="s">
        <v>8</v>
      </c>
      <c r="F26" s="676"/>
      <c r="G26" s="405"/>
      <c r="H26" s="405"/>
      <c r="I26" s="405"/>
      <c r="J26" s="405"/>
      <c r="K26" s="405"/>
      <c r="L26" s="405"/>
    </row>
    <row r="27" spans="1:12" ht="12" customHeight="1">
      <c r="A27" s="405"/>
      <c r="B27" s="677" t="s">
        <v>563</v>
      </c>
      <c r="C27" s="275">
        <f>C19*C21*(C4+C5+C6)</f>
        <v>0</v>
      </c>
      <c r="D27" s="267">
        <v>1</v>
      </c>
      <c r="E27" s="273">
        <f t="shared" ref="E27:E73" si="1">C27*D27</f>
        <v>0</v>
      </c>
      <c r="F27" s="678"/>
      <c r="G27" s="405"/>
      <c r="H27" s="405"/>
      <c r="I27" s="405"/>
      <c r="J27" s="405"/>
      <c r="K27" s="405"/>
      <c r="L27" s="405"/>
    </row>
    <row r="28" spans="1:12" ht="12" customHeight="1">
      <c r="A28" s="405"/>
      <c r="B28" s="679" t="s">
        <v>564</v>
      </c>
      <c r="C28" s="268">
        <f>C20*C21*(C4+C5+C6)</f>
        <v>0</v>
      </c>
      <c r="D28" s="264"/>
      <c r="E28" s="273">
        <f t="shared" si="1"/>
        <v>0</v>
      </c>
      <c r="F28" s="405"/>
      <c r="G28" s="405"/>
      <c r="H28" s="405"/>
      <c r="I28" s="405"/>
      <c r="J28" s="405"/>
      <c r="K28" s="405"/>
      <c r="L28" s="405"/>
    </row>
    <row r="29" spans="1:12" ht="12" customHeight="1">
      <c r="A29" s="405"/>
      <c r="B29" s="679" t="s">
        <v>117</v>
      </c>
      <c r="C29" s="268">
        <f>(C17+C18)*2*(C4+C5+C6)*C21</f>
        <v>0</v>
      </c>
      <c r="D29" s="264"/>
      <c r="E29" s="273">
        <f t="shared" si="1"/>
        <v>0</v>
      </c>
      <c r="F29" s="405"/>
      <c r="G29" s="405"/>
      <c r="H29" s="405"/>
      <c r="I29" s="405"/>
      <c r="J29" s="405"/>
      <c r="K29" s="405"/>
      <c r="L29" s="405"/>
    </row>
    <row r="30" spans="1:12" ht="12" customHeight="1">
      <c r="A30" s="405"/>
      <c r="B30" s="680" t="s">
        <v>420</v>
      </c>
      <c r="C30" s="269">
        <f>IF(AND(C7+C8+C11&gt;0,C9+C10+C12=0,C16=0),C21*2,0)</f>
        <v>0</v>
      </c>
      <c r="D30" s="258"/>
      <c r="E30" s="273">
        <f t="shared" si="1"/>
        <v>0</v>
      </c>
      <c r="F30" s="405"/>
      <c r="G30" s="405"/>
      <c r="H30" s="405"/>
      <c r="I30" s="405"/>
      <c r="J30" s="405"/>
      <c r="K30" s="405"/>
      <c r="L30" s="405"/>
    </row>
    <row r="31" spans="1:12" ht="12" customHeight="1">
      <c r="A31" s="405"/>
      <c r="B31" s="680" t="s">
        <v>421</v>
      </c>
      <c r="C31" s="270">
        <f>IF(AND(C7+C8+C11&gt;0,C9+C10+C12=0,C16=1),C21*2,0)</f>
        <v>0</v>
      </c>
      <c r="D31" s="260"/>
      <c r="E31" s="273">
        <f t="shared" si="1"/>
        <v>0</v>
      </c>
      <c r="F31" s="405"/>
      <c r="G31" s="405"/>
      <c r="H31" s="405"/>
      <c r="I31" s="405"/>
      <c r="J31" s="405"/>
      <c r="K31" s="405"/>
      <c r="L31" s="405"/>
    </row>
    <row r="32" spans="1:12" ht="12" customHeight="1">
      <c r="A32" s="405"/>
      <c r="B32" s="680" t="s">
        <v>420</v>
      </c>
      <c r="C32" s="269">
        <f>IF(AND(C7+C8+C11=0,C9+C10+C12&gt;0,C16=0),C21,0)</f>
        <v>0</v>
      </c>
      <c r="D32" s="258"/>
      <c r="E32" s="273">
        <f t="shared" si="1"/>
        <v>0</v>
      </c>
      <c r="F32" s="405"/>
      <c r="G32" s="405"/>
      <c r="H32" s="405"/>
      <c r="I32" s="405"/>
      <c r="J32" s="405"/>
      <c r="K32" s="405"/>
      <c r="L32" s="405"/>
    </row>
    <row r="33" spans="1:12" ht="12" customHeight="1">
      <c r="A33" s="405"/>
      <c r="B33" s="680" t="s">
        <v>421</v>
      </c>
      <c r="C33" s="270">
        <f>IF(AND(C7+C8+C11=0,C9+C10+C12&gt;0,C16=1),C21,0)</f>
        <v>0</v>
      </c>
      <c r="D33" s="260"/>
      <c r="E33" s="273">
        <f t="shared" si="1"/>
        <v>0</v>
      </c>
      <c r="F33" s="405"/>
      <c r="G33" s="405"/>
      <c r="H33" s="405"/>
      <c r="I33" s="405"/>
      <c r="J33" s="405"/>
      <c r="K33" s="405"/>
      <c r="L33" s="405"/>
    </row>
    <row r="34" spans="1:12" ht="12" customHeight="1">
      <c r="A34" s="405"/>
      <c r="B34" s="680" t="s">
        <v>513</v>
      </c>
      <c r="C34" s="269">
        <f>IF(AND(C7+C8+C11&gt;0,C9+C10+C12=0,C16=0),(((C4+C5+C6)-1)+C22)*C21,0)</f>
        <v>0</v>
      </c>
      <c r="D34" s="258"/>
      <c r="E34" s="273">
        <f t="shared" si="1"/>
        <v>0</v>
      </c>
      <c r="F34" s="405"/>
      <c r="G34" s="405"/>
      <c r="H34" s="405"/>
      <c r="I34" s="405"/>
      <c r="J34" s="405"/>
      <c r="K34" s="405"/>
      <c r="L34" s="405"/>
    </row>
    <row r="35" spans="1:12" ht="12" customHeight="1">
      <c r="A35" s="405"/>
      <c r="B35" s="680" t="s">
        <v>512</v>
      </c>
      <c r="C35" s="270">
        <f>IF(AND(C7+C8+C11&gt;0,C9+C10+C12=0,C16=1),(((C4+C5+C6)-1)+C22)*C21,0)</f>
        <v>0</v>
      </c>
      <c r="D35" s="260"/>
      <c r="E35" s="273">
        <f t="shared" si="1"/>
        <v>0</v>
      </c>
      <c r="F35" s="405"/>
      <c r="G35" s="405"/>
      <c r="H35" s="405"/>
      <c r="I35" s="405"/>
      <c r="J35" s="405"/>
      <c r="K35" s="405"/>
      <c r="L35" s="405"/>
    </row>
    <row r="36" spans="1:12" ht="12" customHeight="1">
      <c r="A36" s="405"/>
      <c r="B36" s="680" t="s">
        <v>513</v>
      </c>
      <c r="C36" s="269">
        <f>IF(AND(C7+C8+C11=0,C9+C10+C12&gt;0,C16=0),((C4+C5+C6)+C22)*C21,0)</f>
        <v>0</v>
      </c>
      <c r="D36" s="258"/>
      <c r="E36" s="273">
        <f t="shared" si="1"/>
        <v>0</v>
      </c>
      <c r="F36" s="523"/>
      <c r="G36" s="405"/>
      <c r="H36" s="405"/>
      <c r="I36" s="405"/>
      <c r="J36" s="405"/>
      <c r="K36" s="405"/>
      <c r="L36" s="405"/>
    </row>
    <row r="37" spans="1:12" ht="12" customHeight="1">
      <c r="A37" s="405"/>
      <c r="B37" s="680" t="s">
        <v>512</v>
      </c>
      <c r="C37" s="270">
        <f>IF(AND(C7+C8+C11=0,C9+C10+C12&gt;0,C16=1),((C4+C5+C6)+C22)*C21,0)</f>
        <v>0</v>
      </c>
      <c r="D37" s="260"/>
      <c r="E37" s="273">
        <f t="shared" si="1"/>
        <v>0</v>
      </c>
      <c r="F37" s="681"/>
      <c r="G37" s="405"/>
      <c r="H37" s="405"/>
      <c r="I37" s="405"/>
      <c r="J37" s="405"/>
      <c r="K37" s="405"/>
      <c r="L37" s="405"/>
    </row>
    <row r="38" spans="1:12" ht="12" customHeight="1">
      <c r="A38" s="405"/>
      <c r="B38" s="679" t="s">
        <v>642</v>
      </c>
      <c r="C38" s="270">
        <f>IF(C15=0,C21*2,0)</f>
        <v>0</v>
      </c>
      <c r="D38" s="260"/>
      <c r="E38" s="273">
        <f t="shared" si="1"/>
        <v>0</v>
      </c>
      <c r="F38" s="681"/>
      <c r="G38" s="405"/>
      <c r="H38" s="405"/>
      <c r="I38" s="405"/>
      <c r="J38" s="405"/>
      <c r="K38" s="405"/>
      <c r="L38" s="405"/>
    </row>
    <row r="39" spans="1:12" ht="12" customHeight="1">
      <c r="A39" s="405"/>
      <c r="B39" s="680" t="s">
        <v>644</v>
      </c>
      <c r="C39" s="269">
        <f>C15*C21*(C4+C5+C6+1+C22)</f>
        <v>0</v>
      </c>
      <c r="D39" s="262"/>
      <c r="E39" s="273">
        <f t="shared" si="1"/>
        <v>0</v>
      </c>
      <c r="F39" s="681"/>
      <c r="G39" s="405"/>
      <c r="H39" s="405"/>
      <c r="I39" s="405"/>
      <c r="J39" s="405"/>
      <c r="K39" s="405"/>
      <c r="L39" s="405"/>
    </row>
    <row r="40" spans="1:12" ht="12" customHeight="1">
      <c r="A40" s="405"/>
      <c r="B40" s="680" t="s">
        <v>514</v>
      </c>
      <c r="C40" s="269">
        <f>((C4+C5+C6)-1)*C21</f>
        <v>0</v>
      </c>
      <c r="D40" s="258"/>
      <c r="E40" s="273">
        <f t="shared" si="1"/>
        <v>0</v>
      </c>
      <c r="F40" s="681"/>
      <c r="G40" s="405"/>
      <c r="H40" s="405"/>
      <c r="I40" s="405"/>
      <c r="J40" s="405"/>
      <c r="K40" s="405"/>
      <c r="L40" s="405"/>
    </row>
    <row r="41" spans="1:12" ht="12" customHeight="1">
      <c r="A41" s="405"/>
      <c r="B41" s="682" t="s">
        <v>506</v>
      </c>
      <c r="C41" s="271">
        <f>((C4+C5+C6)-1+C22)*C21</f>
        <v>0</v>
      </c>
      <c r="D41" s="258"/>
      <c r="E41" s="273">
        <f t="shared" si="1"/>
        <v>0</v>
      </c>
      <c r="F41" s="681"/>
      <c r="G41" s="405"/>
      <c r="H41" s="405"/>
      <c r="I41" s="405"/>
      <c r="J41" s="405"/>
      <c r="K41" s="405"/>
      <c r="L41" s="405"/>
    </row>
    <row r="42" spans="1:12" ht="12" customHeight="1">
      <c r="A42" s="405"/>
      <c r="B42" s="682" t="s">
        <v>515</v>
      </c>
      <c r="C42" s="271">
        <f>((C4+C5+C6)-1+C22)*C21</f>
        <v>0</v>
      </c>
      <c r="D42" s="258"/>
      <c r="E42" s="273">
        <f t="shared" si="1"/>
        <v>0</v>
      </c>
      <c r="F42" s="681"/>
      <c r="G42" s="405"/>
      <c r="H42" s="405"/>
      <c r="I42" s="405"/>
      <c r="J42" s="405"/>
      <c r="K42" s="405"/>
      <c r="L42" s="405"/>
    </row>
    <row r="43" spans="1:12" ht="12" customHeight="1">
      <c r="A43" s="405"/>
      <c r="B43" s="682" t="s">
        <v>508</v>
      </c>
      <c r="C43" s="271">
        <f>C22*C21</f>
        <v>0</v>
      </c>
      <c r="D43" s="258"/>
      <c r="E43" s="273">
        <f t="shared" si="1"/>
        <v>0</v>
      </c>
      <c r="F43" s="681"/>
      <c r="G43" s="405"/>
      <c r="H43" s="405"/>
      <c r="I43" s="405"/>
      <c r="J43" s="405"/>
      <c r="K43" s="405"/>
      <c r="L43" s="405"/>
    </row>
    <row r="44" spans="1:12" ht="12" customHeight="1">
      <c r="A44" s="405"/>
      <c r="B44" s="680" t="s">
        <v>505</v>
      </c>
      <c r="C44" s="269">
        <f>((C4+C5+C6)-1)*C21</f>
        <v>0</v>
      </c>
      <c r="D44" s="258"/>
      <c r="E44" s="273">
        <f t="shared" si="1"/>
        <v>0</v>
      </c>
      <c r="F44" s="681"/>
      <c r="G44" s="405"/>
      <c r="H44" s="405"/>
      <c r="I44" s="405"/>
      <c r="J44" s="405"/>
      <c r="K44" s="405"/>
      <c r="L44" s="405"/>
    </row>
    <row r="45" spans="1:12" ht="12" customHeight="1">
      <c r="A45" s="405"/>
      <c r="B45" s="680" t="s">
        <v>432</v>
      </c>
      <c r="C45" s="268">
        <f>IF(C5+C6=0,(C40+C44+C64),0)</f>
        <v>0</v>
      </c>
      <c r="D45" s="259"/>
      <c r="E45" s="273">
        <f t="shared" si="1"/>
        <v>0</v>
      </c>
      <c r="F45" s="681"/>
      <c r="G45" s="405"/>
      <c r="H45" s="405"/>
      <c r="I45" s="405"/>
      <c r="J45" s="405"/>
      <c r="K45" s="405"/>
      <c r="L45" s="405"/>
    </row>
    <row r="46" spans="1:12" ht="12" customHeight="1">
      <c r="A46" s="405"/>
      <c r="B46" s="680" t="s">
        <v>433</v>
      </c>
      <c r="C46" s="269">
        <f>IF(AND(C5+C6=0,C4&gt;0),(C40+C44+C64)+1,0)</f>
        <v>0</v>
      </c>
      <c r="D46" s="258"/>
      <c r="E46" s="273">
        <f t="shared" si="1"/>
        <v>0</v>
      </c>
      <c r="F46" s="681"/>
      <c r="G46" s="405"/>
      <c r="H46" s="405"/>
      <c r="I46" s="405"/>
      <c r="J46" s="405"/>
      <c r="K46" s="405"/>
      <c r="L46" s="405"/>
    </row>
    <row r="47" spans="1:12" ht="12" customHeight="1">
      <c r="A47" s="405"/>
      <c r="B47" s="680" t="s">
        <v>600</v>
      </c>
      <c r="C47" s="269">
        <f>IF(AND(C4+C5=0,C6&gt;0),(C40+C44+C64),0)</f>
        <v>0</v>
      </c>
      <c r="D47" s="258"/>
      <c r="E47" s="273">
        <f>C47*D47</f>
        <v>0</v>
      </c>
      <c r="F47" s="681"/>
      <c r="G47" s="405"/>
      <c r="H47" s="405"/>
      <c r="I47" s="405"/>
      <c r="J47" s="405"/>
      <c r="K47" s="405"/>
      <c r="L47" s="405"/>
    </row>
    <row r="48" spans="1:12" ht="12" customHeight="1">
      <c r="A48" s="405"/>
      <c r="B48" s="680" t="s">
        <v>434</v>
      </c>
      <c r="C48" s="269">
        <f>IF(AND(C4=0,(C5+C6)&gt;0),(C40+C44+C64),0)</f>
        <v>0</v>
      </c>
      <c r="D48" s="258"/>
      <c r="E48" s="273">
        <f t="shared" si="1"/>
        <v>0</v>
      </c>
      <c r="F48" s="681"/>
      <c r="G48" s="405"/>
      <c r="H48" s="405"/>
      <c r="I48" s="405"/>
      <c r="J48" s="405"/>
      <c r="K48" s="405"/>
      <c r="L48" s="405"/>
    </row>
    <row r="49" spans="1:12" ht="12" customHeight="1">
      <c r="A49" s="405"/>
      <c r="B49" s="679" t="s">
        <v>474</v>
      </c>
      <c r="C49" s="269">
        <f>C2*C21</f>
        <v>0</v>
      </c>
      <c r="D49" s="258"/>
      <c r="E49" s="273">
        <f t="shared" si="1"/>
        <v>0</v>
      </c>
      <c r="F49" s="405"/>
      <c r="G49" s="405"/>
      <c r="H49" s="405"/>
      <c r="I49" s="405"/>
      <c r="J49" s="405"/>
      <c r="K49" s="405"/>
      <c r="L49" s="405"/>
    </row>
    <row r="50" spans="1:12" ht="12" customHeight="1">
      <c r="A50" s="405"/>
      <c r="B50" s="679" t="s">
        <v>474</v>
      </c>
      <c r="C50" s="269">
        <f>C2*C19*C21</f>
        <v>0</v>
      </c>
      <c r="D50" s="262"/>
      <c r="E50" s="273">
        <f t="shared" si="1"/>
        <v>0</v>
      </c>
      <c r="F50" s="405"/>
      <c r="G50" s="405"/>
      <c r="H50" s="405"/>
      <c r="I50" s="405"/>
      <c r="J50" s="405"/>
      <c r="K50" s="405"/>
      <c r="L50" s="405"/>
    </row>
    <row r="51" spans="1:12" ht="12" customHeight="1">
      <c r="A51" s="405"/>
      <c r="B51" s="680" t="s">
        <v>363</v>
      </c>
      <c r="C51" s="269">
        <f>C18*2*C2*C21</f>
        <v>0</v>
      </c>
      <c r="D51" s="262"/>
      <c r="E51" s="273">
        <f t="shared" si="1"/>
        <v>0</v>
      </c>
      <c r="F51" s="405"/>
      <c r="G51" s="405"/>
      <c r="H51" s="405"/>
      <c r="I51" s="405"/>
      <c r="J51" s="405"/>
      <c r="K51" s="405"/>
      <c r="L51" s="405"/>
    </row>
    <row r="52" spans="1:12" ht="12" customHeight="1">
      <c r="A52" s="405"/>
      <c r="B52" s="680" t="s">
        <v>477</v>
      </c>
      <c r="C52" s="269">
        <f>(C17+C20)*C2</f>
        <v>0</v>
      </c>
      <c r="D52" s="258"/>
      <c r="E52" s="273">
        <f t="shared" si="1"/>
        <v>0</v>
      </c>
      <c r="F52" s="405"/>
      <c r="G52" s="405"/>
      <c r="H52" s="405"/>
      <c r="I52" s="405"/>
      <c r="J52" s="405"/>
      <c r="K52" s="405"/>
      <c r="L52" s="405"/>
    </row>
    <row r="53" spans="1:12" ht="12" customHeight="1">
      <c r="A53" s="405"/>
      <c r="B53" s="680" t="s">
        <v>467</v>
      </c>
      <c r="C53" s="269">
        <f>C21*C2*C19</f>
        <v>0</v>
      </c>
      <c r="D53" s="258"/>
      <c r="E53" s="273">
        <f t="shared" si="1"/>
        <v>0</v>
      </c>
      <c r="F53" s="683"/>
      <c r="G53" s="405"/>
      <c r="H53" s="405"/>
      <c r="I53" s="405"/>
      <c r="J53" s="405"/>
      <c r="K53" s="405"/>
      <c r="L53" s="405"/>
    </row>
    <row r="54" spans="1:12" ht="12" customHeight="1">
      <c r="A54" s="405"/>
      <c r="B54" s="680" t="s">
        <v>645</v>
      </c>
      <c r="C54" s="269">
        <f>C20*C2*C21</f>
        <v>0</v>
      </c>
      <c r="D54" s="262"/>
      <c r="E54" s="273">
        <f t="shared" si="1"/>
        <v>0</v>
      </c>
      <c r="F54" s="683"/>
      <c r="G54" s="405"/>
      <c r="H54" s="405"/>
      <c r="I54" s="405"/>
      <c r="J54" s="405"/>
      <c r="K54" s="405"/>
      <c r="L54" s="405"/>
    </row>
    <row r="55" spans="1:12" ht="12" customHeight="1">
      <c r="A55" s="405"/>
      <c r="B55" s="680" t="s">
        <v>364</v>
      </c>
      <c r="C55" s="269">
        <f>C2*C17*C21</f>
        <v>0</v>
      </c>
      <c r="D55" s="262"/>
      <c r="E55" s="273">
        <f t="shared" si="1"/>
        <v>0</v>
      </c>
      <c r="F55" s="683"/>
      <c r="G55" s="405"/>
      <c r="H55" s="405"/>
      <c r="I55" s="405"/>
      <c r="J55" s="405"/>
      <c r="K55" s="405"/>
      <c r="L55" s="405"/>
    </row>
    <row r="56" spans="1:12" ht="12" customHeight="1">
      <c r="A56" s="405"/>
      <c r="B56" s="680" t="s">
        <v>365</v>
      </c>
      <c r="C56" s="276">
        <f>C2*C18*C21</f>
        <v>0</v>
      </c>
      <c r="D56" s="262"/>
      <c r="E56" s="273">
        <f t="shared" si="1"/>
        <v>0</v>
      </c>
      <c r="F56" s="683"/>
      <c r="G56" s="405"/>
      <c r="H56" s="405"/>
      <c r="I56" s="405"/>
      <c r="J56" s="405"/>
      <c r="K56" s="405"/>
      <c r="L56" s="405"/>
    </row>
    <row r="57" spans="1:12" ht="12" customHeight="1">
      <c r="A57" s="405"/>
      <c r="B57" s="680" t="s">
        <v>424</v>
      </c>
      <c r="C57" s="270">
        <f>C39*2</f>
        <v>0</v>
      </c>
      <c r="D57" s="263"/>
      <c r="E57" s="273">
        <f t="shared" si="1"/>
        <v>0</v>
      </c>
      <c r="F57" s="683"/>
      <c r="G57" s="405"/>
      <c r="H57" s="405"/>
      <c r="I57" s="405"/>
      <c r="J57" s="405"/>
      <c r="K57" s="405"/>
      <c r="L57" s="405"/>
    </row>
    <row r="58" spans="1:12" ht="12" customHeight="1">
      <c r="A58" s="405"/>
      <c r="B58" s="680" t="s">
        <v>643</v>
      </c>
      <c r="C58" s="270">
        <f>IF(C15=1,C21*2,0)</f>
        <v>0</v>
      </c>
      <c r="D58" s="263"/>
      <c r="E58" s="273">
        <f t="shared" si="1"/>
        <v>0</v>
      </c>
      <c r="F58" s="683"/>
      <c r="G58" s="405"/>
      <c r="H58" s="405"/>
      <c r="I58" s="405"/>
      <c r="J58" s="405"/>
      <c r="K58" s="405"/>
      <c r="L58" s="405"/>
    </row>
    <row r="59" spans="1:12" ht="12" customHeight="1">
      <c r="A59" s="405"/>
      <c r="B59" s="680" t="s">
        <v>641</v>
      </c>
      <c r="C59" s="269">
        <f>EVEN(ROUNDDOWN(IF(C15=1,C2*C21/0.5,0),0))</f>
        <v>0</v>
      </c>
      <c r="D59" s="262"/>
      <c r="E59" s="273">
        <f t="shared" si="1"/>
        <v>0</v>
      </c>
      <c r="F59" s="683"/>
      <c r="G59" s="405"/>
      <c r="H59" s="405"/>
      <c r="I59" s="405"/>
      <c r="J59" s="405"/>
      <c r="K59" s="405"/>
      <c r="L59" s="405"/>
    </row>
    <row r="60" spans="1:12" ht="12" customHeight="1">
      <c r="A60" s="405"/>
      <c r="B60" s="679" t="s">
        <v>676</v>
      </c>
      <c r="C60" s="276">
        <f>C15*C2*C21</f>
        <v>0</v>
      </c>
      <c r="D60" s="262"/>
      <c r="E60" s="273">
        <f t="shared" si="1"/>
        <v>0</v>
      </c>
      <c r="F60" s="683"/>
      <c r="G60" s="405"/>
      <c r="H60" s="405"/>
      <c r="I60" s="405"/>
      <c r="J60" s="405"/>
      <c r="K60" s="405"/>
      <c r="L60" s="405"/>
    </row>
    <row r="61" spans="1:12" ht="12" customHeight="1">
      <c r="A61" s="405"/>
      <c r="B61" s="679" t="s">
        <v>461</v>
      </c>
      <c r="C61" s="276">
        <f>IF(AND(C4&gt;0,C5+C6=0),C2*C21,0)</f>
        <v>0</v>
      </c>
      <c r="D61" s="258"/>
      <c r="E61" s="273">
        <f t="shared" si="1"/>
        <v>0</v>
      </c>
      <c r="F61" s="683"/>
      <c r="G61" s="405"/>
      <c r="H61" s="405"/>
      <c r="I61" s="405"/>
      <c r="J61" s="405"/>
      <c r="K61" s="405"/>
      <c r="L61" s="405"/>
    </row>
    <row r="62" spans="1:12" ht="12" customHeight="1">
      <c r="A62" s="405"/>
      <c r="B62" s="679" t="s">
        <v>462</v>
      </c>
      <c r="C62" s="276">
        <f>IF(AND(C5&gt;0,C4+C6=0),C2*C21,0)</f>
        <v>0</v>
      </c>
      <c r="D62" s="258"/>
      <c r="E62" s="273">
        <f t="shared" si="1"/>
        <v>0</v>
      </c>
      <c r="F62" s="683"/>
      <c r="G62" s="405"/>
      <c r="H62" s="405"/>
      <c r="I62" s="405"/>
      <c r="J62" s="405"/>
      <c r="K62" s="405"/>
      <c r="L62" s="405"/>
    </row>
    <row r="63" spans="1:12" ht="12" customHeight="1">
      <c r="A63" s="405"/>
      <c r="B63" s="679" t="s">
        <v>601</v>
      </c>
      <c r="C63" s="276">
        <f>IF(AND(C6&gt;0,(C4+C5)=0),C2*C21,0)</f>
        <v>0</v>
      </c>
      <c r="D63" s="258"/>
      <c r="E63" s="273">
        <f>C63*D63</f>
        <v>0</v>
      </c>
      <c r="F63" s="683"/>
      <c r="G63" s="405"/>
      <c r="H63" s="405"/>
      <c r="I63" s="405"/>
      <c r="J63" s="405"/>
      <c r="K63" s="405"/>
      <c r="L63" s="405"/>
    </row>
    <row r="64" spans="1:12" ht="12" customHeight="1">
      <c r="A64" s="405"/>
      <c r="B64" s="680" t="s">
        <v>647</v>
      </c>
      <c r="C64" s="276">
        <f>C21</f>
        <v>0</v>
      </c>
      <c r="D64" s="258"/>
      <c r="E64" s="273">
        <f t="shared" si="1"/>
        <v>0</v>
      </c>
      <c r="F64" s="683"/>
      <c r="G64" s="405"/>
      <c r="H64" s="405"/>
      <c r="I64" s="405"/>
      <c r="J64" s="405"/>
      <c r="K64" s="405"/>
      <c r="L64" s="405"/>
    </row>
    <row r="65" spans="1:12" ht="12" customHeight="1">
      <c r="A65" s="405"/>
      <c r="B65" s="452" t="s">
        <v>602</v>
      </c>
      <c r="C65" s="354">
        <f>C11*C21</f>
        <v>0</v>
      </c>
      <c r="D65" s="348"/>
      <c r="E65" s="344">
        <f t="shared" si="1"/>
        <v>0</v>
      </c>
      <c r="F65" s="683"/>
      <c r="G65" s="405"/>
      <c r="H65" s="405"/>
      <c r="I65" s="405"/>
      <c r="J65" s="405"/>
      <c r="K65" s="405"/>
      <c r="L65" s="405"/>
    </row>
    <row r="66" spans="1:12" ht="12" customHeight="1">
      <c r="A66" s="405"/>
      <c r="B66" s="452" t="s">
        <v>603</v>
      </c>
      <c r="C66" s="354">
        <f>C12*C21</f>
        <v>0</v>
      </c>
      <c r="D66" s="348"/>
      <c r="E66" s="344">
        <f t="shared" si="1"/>
        <v>0</v>
      </c>
      <c r="F66" s="683"/>
      <c r="G66" s="405"/>
      <c r="H66" s="405"/>
      <c r="I66" s="405"/>
      <c r="J66" s="405"/>
      <c r="K66" s="405"/>
      <c r="L66" s="405"/>
    </row>
    <row r="67" spans="1:12" ht="12" customHeight="1">
      <c r="A67" s="405"/>
      <c r="B67" s="684" t="s">
        <v>378</v>
      </c>
      <c r="C67" s="276">
        <f>C7*C21</f>
        <v>0</v>
      </c>
      <c r="D67" s="258"/>
      <c r="E67" s="273">
        <f t="shared" si="1"/>
        <v>0</v>
      </c>
      <c r="F67" s="405"/>
      <c r="G67" s="405"/>
      <c r="H67" s="405"/>
      <c r="I67" s="405"/>
      <c r="J67" s="405"/>
      <c r="K67" s="405"/>
      <c r="L67" s="405"/>
    </row>
    <row r="68" spans="1:12" ht="12" customHeight="1">
      <c r="A68" s="405"/>
      <c r="B68" s="682" t="s">
        <v>435</v>
      </c>
      <c r="C68" s="276">
        <f>C9*C21</f>
        <v>0</v>
      </c>
      <c r="D68" s="258"/>
      <c r="E68" s="273">
        <f t="shared" si="1"/>
        <v>0</v>
      </c>
      <c r="F68" s="405"/>
      <c r="G68" s="405"/>
      <c r="H68" s="405"/>
      <c r="I68" s="405"/>
      <c r="J68" s="405"/>
      <c r="K68" s="405"/>
      <c r="L68" s="405"/>
    </row>
    <row r="69" spans="1:12" ht="12" customHeight="1">
      <c r="A69" s="405"/>
      <c r="B69" s="682" t="s">
        <v>436</v>
      </c>
      <c r="C69" s="276">
        <f>C8*C21</f>
        <v>0</v>
      </c>
      <c r="D69" s="258"/>
      <c r="E69" s="273">
        <f t="shared" si="1"/>
        <v>0</v>
      </c>
      <c r="F69" s="405"/>
      <c r="G69" s="405"/>
      <c r="H69" s="405"/>
      <c r="I69" s="405"/>
      <c r="J69" s="405"/>
      <c r="K69" s="405"/>
      <c r="L69" s="405"/>
    </row>
    <row r="70" spans="1:12" ht="12" customHeight="1">
      <c r="A70" s="405"/>
      <c r="B70" s="772" t="s">
        <v>682</v>
      </c>
      <c r="C70" s="271">
        <f>IF(C4+C5+C6&gt;0,C4+C5+C6-1,0)</f>
        <v>0</v>
      </c>
      <c r="D70" s="773"/>
      <c r="E70" s="774">
        <f t="shared" si="1"/>
        <v>0</v>
      </c>
      <c r="F70" s="405"/>
      <c r="G70" s="405"/>
      <c r="H70" s="405"/>
      <c r="I70" s="405"/>
      <c r="J70" s="405"/>
      <c r="K70" s="405"/>
      <c r="L70" s="405"/>
    </row>
    <row r="71" spans="1:12" ht="12" customHeight="1">
      <c r="A71" s="405"/>
      <c r="B71" s="525" t="s">
        <v>145</v>
      </c>
      <c r="C71" s="506">
        <f>C24</f>
        <v>0</v>
      </c>
      <c r="D71" s="522"/>
      <c r="E71" s="400">
        <f t="shared" si="1"/>
        <v>0</v>
      </c>
      <c r="F71" s="405"/>
      <c r="G71" s="405"/>
      <c r="H71" s="405"/>
      <c r="I71" s="405"/>
      <c r="J71" s="405"/>
      <c r="K71" s="405"/>
      <c r="L71" s="405"/>
    </row>
    <row r="72" spans="1:12" ht="12" customHeight="1">
      <c r="A72" s="405"/>
      <c r="B72" s="525" t="s">
        <v>148</v>
      </c>
      <c r="C72" s="506">
        <f>C23</f>
        <v>0</v>
      </c>
      <c r="D72" s="522"/>
      <c r="E72" s="400">
        <f t="shared" si="1"/>
        <v>0</v>
      </c>
      <c r="F72" s="405"/>
      <c r="G72" s="405"/>
      <c r="H72" s="405"/>
      <c r="I72" s="405"/>
      <c r="J72" s="405"/>
      <c r="K72" s="405"/>
      <c r="L72" s="405"/>
    </row>
    <row r="73" spans="1:12" ht="12" customHeight="1" thickBot="1">
      <c r="A73" s="405"/>
      <c r="B73" s="685" t="s">
        <v>437</v>
      </c>
      <c r="C73" s="272">
        <f>C10*C21</f>
        <v>0</v>
      </c>
      <c r="D73" s="261"/>
      <c r="E73" s="274">
        <f t="shared" si="1"/>
        <v>0</v>
      </c>
      <c r="F73" s="405"/>
      <c r="G73" s="405"/>
      <c r="H73" s="405"/>
      <c r="I73" s="405"/>
      <c r="J73" s="405"/>
      <c r="K73" s="405"/>
      <c r="L73" s="405"/>
    </row>
    <row r="74" spans="1:12" ht="12" customHeight="1" thickBot="1">
      <c r="A74" s="405"/>
      <c r="B74" s="405"/>
      <c r="C74" s="405"/>
      <c r="D74" s="686" t="s">
        <v>9</v>
      </c>
      <c r="E74" s="687">
        <f>SUMIF(E27:E73,"&gt;0",E27:E73)</f>
        <v>0</v>
      </c>
      <c r="F74" s="405"/>
      <c r="G74" s="405"/>
      <c r="H74" s="405"/>
      <c r="I74" s="405"/>
      <c r="J74" s="405"/>
      <c r="K74" s="405"/>
      <c r="L74" s="405"/>
    </row>
    <row r="75" spans="1:12">
      <c r="A75" s="405"/>
      <c r="B75" s="405"/>
      <c r="C75" s="405"/>
      <c r="D75" s="405"/>
      <c r="E75" s="405"/>
      <c r="F75" s="405"/>
      <c r="G75" s="405"/>
      <c r="H75" s="405"/>
      <c r="I75" s="405"/>
      <c r="J75" s="405"/>
      <c r="K75" s="405"/>
      <c r="L75" s="405"/>
    </row>
    <row r="76" spans="1:12">
      <c r="A76" s="405"/>
      <c r="B76" s="405"/>
      <c r="C76" s="405"/>
      <c r="D76" s="405"/>
      <c r="E76" s="405"/>
      <c r="F76" s="405"/>
      <c r="G76" s="405"/>
      <c r="H76" s="405"/>
      <c r="I76" s="405"/>
      <c r="J76" s="405"/>
      <c r="K76" s="405"/>
      <c r="L76" s="405"/>
    </row>
    <row r="77" spans="1:12" ht="11.25" customHeight="1">
      <c r="A77" s="405"/>
      <c r="B77" s="405"/>
      <c r="C77" s="405"/>
      <c r="D77" s="405"/>
      <c r="E77" s="405"/>
      <c r="F77" s="405"/>
      <c r="G77" s="405"/>
      <c r="H77" s="405"/>
      <c r="I77" s="405"/>
      <c r="J77" s="405"/>
      <c r="K77" s="405"/>
      <c r="L77" s="405"/>
    </row>
    <row r="78" spans="1:12">
      <c r="A78" s="405"/>
      <c r="B78" s="405"/>
      <c r="C78" s="405"/>
      <c r="D78" s="405"/>
      <c r="E78" s="405"/>
      <c r="F78" s="405"/>
      <c r="G78" s="405"/>
      <c r="H78" s="405"/>
      <c r="I78" s="405"/>
      <c r="J78" s="405"/>
      <c r="K78" s="405"/>
      <c r="L78" s="405"/>
    </row>
    <row r="79" spans="1:12">
      <c r="A79" s="405"/>
      <c r="B79" s="405"/>
      <c r="C79" s="405"/>
      <c r="D79" s="405"/>
      <c r="E79" s="405"/>
      <c r="F79" s="405"/>
      <c r="G79" s="405"/>
      <c r="H79" s="405"/>
      <c r="I79" s="405"/>
      <c r="J79" s="405"/>
      <c r="K79" s="405"/>
      <c r="L79" s="405"/>
    </row>
    <row r="80" spans="1:12">
      <c r="A80" s="405"/>
      <c r="B80" s="405"/>
      <c r="C80" s="405"/>
      <c r="D80" s="405"/>
      <c r="E80" s="405"/>
      <c r="F80" s="405"/>
      <c r="G80" s="405"/>
      <c r="H80" s="405"/>
      <c r="I80" s="405"/>
      <c r="J80" s="405"/>
      <c r="K80" s="405"/>
      <c r="L80" s="405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468" priority="48" operator="greaterThan">
      <formula>0</formula>
    </cfRule>
  </conditionalFormatting>
  <conditionalFormatting sqref="C13">
    <cfRule type="cellIs" dxfId="467" priority="47" operator="greaterThan">
      <formula>0</formula>
    </cfRule>
  </conditionalFormatting>
  <conditionalFormatting sqref="C27:E70">
    <cfRule type="cellIs" dxfId="466" priority="46" operator="greaterThan">
      <formula>0</formula>
    </cfRule>
  </conditionalFormatting>
  <conditionalFormatting sqref="C66:E66">
    <cfRule type="cellIs" dxfId="465" priority="45" operator="greaterThan">
      <formula>0</formula>
    </cfRule>
  </conditionalFormatting>
  <conditionalFormatting sqref="C65:E66">
    <cfRule type="cellIs" dxfId="464" priority="44" operator="greaterThan">
      <formula>0</formula>
    </cfRule>
  </conditionalFormatting>
  <conditionalFormatting sqref="J3:J19">
    <cfRule type="cellIs" dxfId="463" priority="17" operator="greaterThan">
      <formula>0</formula>
    </cfRule>
    <cfRule type="cellIs" dxfId="462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61" priority="38" operator="equal">
      <formula>"ДА"</formula>
    </cfRule>
    <cfRule type="cellIs" dxfId="460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59" priority="35" operator="equal">
      <formula>"ДА"</formula>
    </cfRule>
    <cfRule type="cellIs" dxfId="458" priority="36" operator="equal">
      <formula>"НЕТ"</formula>
    </cfRule>
  </conditionalFormatting>
  <conditionalFormatting sqref="I5">
    <cfRule type="cellIs" dxfId="457" priority="32" operator="equal">
      <formula>"ДА"</formula>
    </cfRule>
    <cfRule type="cellIs" dxfId="456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55" priority="28" operator="equal">
      <formula>"ДА"</formula>
    </cfRule>
    <cfRule type="cellIs" dxfId="454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453" priority="24" operator="equal">
      <formula>"ДА"</formula>
    </cfRule>
    <cfRule type="cellIs" dxfId="452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451" priority="22" operator="equal">
      <formula>"ДА"</formula>
    </cfRule>
    <cfRule type="cellIs" dxfId="450" priority="23" operator="equal">
      <formula>"НЕТ"</formula>
    </cfRule>
  </conditionalFormatting>
  <conditionalFormatting sqref="I19">
    <cfRule type="cellIs" dxfId="449" priority="20" operator="equal">
      <formula>"ДА"</formula>
    </cfRule>
    <cfRule type="cellIs" dxfId="448" priority="21" operator="equal">
      <formula>"НЕТ"</formula>
    </cfRule>
  </conditionalFormatting>
  <conditionalFormatting sqref="K3:K19">
    <cfRule type="cellIs" dxfId="447" priority="19" operator="greaterThan">
      <formula>0</formula>
    </cfRule>
  </conditionalFormatting>
  <conditionalFormatting sqref="I15:I19">
    <cfRule type="cellIs" dxfId="446" priority="16" operator="equal">
      <formula>"НЕТ"</formula>
    </cfRule>
  </conditionalFormatting>
  <conditionalFormatting sqref="I3:I19">
    <cfRule type="cellIs" dxfId="445" priority="14" operator="equal">
      <formula>"НЕТ"</formula>
    </cfRule>
    <cfRule type="cellIs" dxfId="444" priority="15" operator="equal">
      <formula>"ДА"</formula>
    </cfRule>
  </conditionalFormatting>
  <conditionalFormatting sqref="I3:I18">
    <cfRule type="cellIs" dxfId="443" priority="13" operator="equal">
      <formula>"ДА"</formula>
    </cfRule>
  </conditionalFormatting>
  <conditionalFormatting sqref="I5">
    <cfRule type="cellIs" dxfId="442" priority="10" operator="equal">
      <formula>"ДА"</formula>
    </cfRule>
    <cfRule type="cellIs" dxfId="441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40" priority="7" operator="equal">
      <formula>"ДА"</formula>
    </cfRule>
    <cfRule type="cellIs" dxfId="439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438" priority="6" operator="greaterThan">
      <formula>0</formula>
    </cfRule>
  </conditionalFormatting>
  <conditionalFormatting sqref="C73:E73">
    <cfRule type="cellIs" dxfId="437" priority="5" operator="greaterThan">
      <formula>0</formula>
    </cfRule>
  </conditionalFormatting>
  <conditionalFormatting sqref="E74">
    <cfRule type="cellIs" dxfId="436" priority="4" operator="greaterThan">
      <formula>0</formula>
    </cfRule>
  </conditionalFormatting>
  <conditionalFormatting sqref="J3:K19">
    <cfRule type="cellIs" dxfId="435" priority="3" operator="greaterThan">
      <formula>0</formula>
    </cfRule>
  </conditionalFormatting>
  <conditionalFormatting sqref="C23:C24">
    <cfRule type="cellIs" dxfId="434" priority="2" operator="greaterThan">
      <formula>0</formula>
    </cfRule>
  </conditionalFormatting>
  <conditionalFormatting sqref="C71:E72">
    <cfRule type="cellIs" dxfId="433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05"/>
      <c r="B1" s="1306"/>
      <c r="C1" s="1306"/>
      <c r="D1" s="1306"/>
      <c r="E1" s="1306"/>
      <c r="F1" s="405"/>
      <c r="G1" s="405"/>
      <c r="H1" s="405"/>
      <c r="I1" s="405"/>
      <c r="J1" s="405"/>
      <c r="K1" s="405"/>
      <c r="L1" s="405"/>
    </row>
    <row r="2" spans="1:12" ht="11.25" customHeight="1" thickBot="1">
      <c r="A2" s="439"/>
      <c r="B2" s="407" t="s">
        <v>666</v>
      </c>
      <c r="C2" s="591">
        <v>0</v>
      </c>
      <c r="D2" s="1231" t="s">
        <v>595</v>
      </c>
      <c r="E2" s="1232"/>
      <c r="F2" s="1233"/>
      <c r="G2" s="481"/>
      <c r="H2" s="409" t="s">
        <v>485</v>
      </c>
      <c r="I2" s="688" t="s">
        <v>604</v>
      </c>
      <c r="J2" s="410" t="s">
        <v>4</v>
      </c>
      <c r="K2" s="411" t="s">
        <v>8</v>
      </c>
      <c r="L2" s="405"/>
    </row>
    <row r="3" spans="1:12" ht="13.5" thickBot="1">
      <c r="A3" s="439"/>
      <c r="B3" s="412" t="s">
        <v>667</v>
      </c>
      <c r="C3" s="459">
        <v>0</v>
      </c>
      <c r="D3" s="1234"/>
      <c r="E3" s="1235"/>
      <c r="F3" s="1236"/>
      <c r="G3" s="481"/>
      <c r="H3" s="413" t="s">
        <v>489</v>
      </c>
      <c r="I3" s="623" t="str">
        <f>IF(AND($C$7+$C$8+$C$9=1,$C$10+$C$11+$C$12=0,C13=1),"ДА","НЕТ")</f>
        <v>НЕТ</v>
      </c>
      <c r="J3" s="318"/>
      <c r="K3" s="319">
        <f>IF(I3="ДА",$C$18*J3,0)</f>
        <v>0</v>
      </c>
      <c r="L3" s="405"/>
    </row>
    <row r="4" spans="1:12" ht="12.75">
      <c r="A4" s="439"/>
      <c r="B4" s="407" t="s">
        <v>509</v>
      </c>
      <c r="C4" s="586">
        <v>0</v>
      </c>
      <c r="D4" s="1294" t="s">
        <v>128</v>
      </c>
      <c r="E4" s="1295"/>
      <c r="F4" s="1296"/>
      <c r="G4" s="439"/>
      <c r="H4" s="418" t="s">
        <v>486</v>
      </c>
      <c r="I4" s="624" t="str">
        <f>IF(AND($C$7+$C$8+$C$9=1,$C$10+$C$11+$C$12=0,C13=3),"ДА","НЕТ")</f>
        <v>НЕТ</v>
      </c>
      <c r="J4" s="322"/>
      <c r="K4" s="323">
        <f t="shared" ref="K4:K19" si="0">IF(I4="ДА",$C$18*J4,0)</f>
        <v>0</v>
      </c>
      <c r="L4" s="405"/>
    </row>
    <row r="5" spans="1:12" ht="12.75">
      <c r="A5" s="439"/>
      <c r="B5" s="417" t="s">
        <v>510</v>
      </c>
      <c r="C5" s="587">
        <v>0</v>
      </c>
      <c r="D5" s="1297"/>
      <c r="E5" s="1298"/>
      <c r="F5" s="1299"/>
      <c r="G5" s="439"/>
      <c r="H5" s="418" t="s">
        <v>591</v>
      </c>
      <c r="I5" s="624" t="str">
        <f>IF(AND($C$7+$C$8+$C$9=1,$C$10+$C$11+$C$12=0,C13=3),"ДА","НЕТ")</f>
        <v>НЕТ</v>
      </c>
      <c r="J5" s="322"/>
      <c r="K5" s="323">
        <f t="shared" si="0"/>
        <v>0</v>
      </c>
      <c r="L5" s="405"/>
    </row>
    <row r="6" spans="1:12" ht="13.5" thickBot="1">
      <c r="A6" s="439"/>
      <c r="B6" s="440" t="s">
        <v>674</v>
      </c>
      <c r="C6" s="588">
        <v>0</v>
      </c>
      <c r="D6" s="1300"/>
      <c r="E6" s="1301"/>
      <c r="F6" s="1302"/>
      <c r="G6" s="439"/>
      <c r="H6" s="418" t="s">
        <v>487</v>
      </c>
      <c r="I6" s="624" t="str">
        <f>IF(AND($C$7+$C$8+$C$9=1,$C$10+$C$11+$C$12=0,C13=2),"ДА","НЕТ")</f>
        <v>НЕТ</v>
      </c>
      <c r="J6" s="322"/>
      <c r="K6" s="323">
        <f t="shared" si="0"/>
        <v>0</v>
      </c>
      <c r="L6" s="405"/>
    </row>
    <row r="7" spans="1:12" ht="12.75">
      <c r="A7" s="439"/>
      <c r="B7" s="407" t="s">
        <v>498</v>
      </c>
      <c r="C7" s="464">
        <v>0</v>
      </c>
      <c r="D7" s="420" t="s">
        <v>287</v>
      </c>
      <c r="E7" s="421" t="s">
        <v>255</v>
      </c>
      <c r="F7" s="1303" t="s">
        <v>597</v>
      </c>
      <c r="G7" s="439"/>
      <c r="H7" s="418" t="s">
        <v>488</v>
      </c>
      <c r="I7" s="624" t="str">
        <f>IF(AND($C$7+$C$8+$C$9=1,$C$10+$C$11+$C$12=0,C13=2),"ДА","НЕТ")</f>
        <v>НЕТ</v>
      </c>
      <c r="J7" s="322"/>
      <c r="K7" s="323">
        <f t="shared" si="0"/>
        <v>0</v>
      </c>
      <c r="L7" s="405"/>
    </row>
    <row r="8" spans="1:12" ht="12.75">
      <c r="A8" s="439"/>
      <c r="B8" s="417" t="s">
        <v>499</v>
      </c>
      <c r="C8" s="461">
        <v>0</v>
      </c>
      <c r="D8" s="424" t="s">
        <v>287</v>
      </c>
      <c r="E8" s="424" t="s">
        <v>255</v>
      </c>
      <c r="F8" s="1304"/>
      <c r="G8" s="439"/>
      <c r="H8" s="418" t="s">
        <v>494</v>
      </c>
      <c r="I8" s="624" t="str">
        <f>IF(AND($C$7+$C$8+$C$9=1,$C$10+$C$11+$C$12=0,C13=2),"ДА","НЕТ")</f>
        <v>НЕТ</v>
      </c>
      <c r="J8" s="322"/>
      <c r="K8" s="323">
        <f t="shared" si="0"/>
        <v>0</v>
      </c>
      <c r="L8" s="405"/>
    </row>
    <row r="9" spans="1:12" ht="12.75">
      <c r="A9" s="439"/>
      <c r="B9" s="417" t="s">
        <v>587</v>
      </c>
      <c r="C9" s="461">
        <v>0</v>
      </c>
      <c r="D9" s="424" t="s">
        <v>287</v>
      </c>
      <c r="E9" s="424" t="s">
        <v>255</v>
      </c>
      <c r="F9" s="1304"/>
      <c r="G9" s="439"/>
      <c r="H9" s="413" t="s">
        <v>590</v>
      </c>
      <c r="I9" s="624" t="str">
        <f>IF(AND($C$7+$C$8+$C$9=1,$C$10+$C$11+$C$12=0,C13=1),"ДА","НЕТ")</f>
        <v>НЕТ</v>
      </c>
      <c r="J9" s="318"/>
      <c r="K9" s="319">
        <f t="shared" si="0"/>
        <v>0</v>
      </c>
      <c r="L9" s="405"/>
    </row>
    <row r="10" spans="1:12" ht="12.75">
      <c r="A10" s="439"/>
      <c r="B10" s="419" t="s">
        <v>500</v>
      </c>
      <c r="C10" s="462">
        <v>0</v>
      </c>
      <c r="D10" s="422" t="s">
        <v>287</v>
      </c>
      <c r="E10" s="423" t="s">
        <v>255</v>
      </c>
      <c r="F10" s="1304"/>
      <c r="G10" s="441"/>
      <c r="H10" s="413" t="s">
        <v>383</v>
      </c>
      <c r="I10" s="624" t="str">
        <f>IF(AND($C$7+$C$8+$C$9+$C$12=0,$C$10+$C$11=1,$C$13=1),"ДА","НЕТ")</f>
        <v>НЕТ</v>
      </c>
      <c r="J10" s="325"/>
      <c r="K10" s="326">
        <f t="shared" si="0"/>
        <v>0</v>
      </c>
      <c r="L10" s="405"/>
    </row>
    <row r="11" spans="1:12" ht="12.75">
      <c r="A11" s="439"/>
      <c r="B11" s="417" t="s">
        <v>501</v>
      </c>
      <c r="C11" s="461">
        <v>0</v>
      </c>
      <c r="D11" s="424" t="s">
        <v>287</v>
      </c>
      <c r="E11" s="424" t="s">
        <v>255</v>
      </c>
      <c r="F11" s="1304"/>
      <c r="G11" s="453"/>
      <c r="H11" s="416" t="s">
        <v>384</v>
      </c>
      <c r="I11" s="624" t="str">
        <f>IF(AND($C$7+$C$8+$C$9+$C$12=0,$C$10+$C$11=1,$C$13=1),"ДА","НЕТ")</f>
        <v>НЕТ</v>
      </c>
      <c r="J11" s="325"/>
      <c r="K11" s="326">
        <f t="shared" si="0"/>
        <v>0</v>
      </c>
      <c r="L11" s="405"/>
    </row>
    <row r="12" spans="1:12" ht="13.5" thickBot="1">
      <c r="A12" s="439"/>
      <c r="B12" s="514" t="s">
        <v>588</v>
      </c>
      <c r="C12" s="513">
        <v>0</v>
      </c>
      <c r="D12" s="626" t="s">
        <v>287</v>
      </c>
      <c r="E12" s="516" t="s">
        <v>255</v>
      </c>
      <c r="F12" s="1305"/>
      <c r="G12" s="453"/>
      <c r="H12" s="416" t="s">
        <v>385</v>
      </c>
      <c r="I12" s="624" t="str">
        <f>IF(AND($C$7+$C$8+$C$9+$C$12=0,$C$10+$C$11=1,$C$13=1),"ДА","НЕТ")</f>
        <v>НЕТ</v>
      </c>
      <c r="J12" s="328"/>
      <c r="K12" s="326">
        <f t="shared" si="0"/>
        <v>0</v>
      </c>
      <c r="L12" s="405"/>
    </row>
    <row r="13" spans="1:12" ht="13.5" thickBot="1">
      <c r="A13" s="439"/>
      <c r="B13" s="429" t="s">
        <v>589</v>
      </c>
      <c r="C13" s="548">
        <v>0</v>
      </c>
      <c r="D13" s="433" t="s">
        <v>619</v>
      </c>
      <c r="E13" s="434" t="s">
        <v>620</v>
      </c>
      <c r="F13" s="436" t="s">
        <v>621</v>
      </c>
      <c r="G13" s="453"/>
      <c r="H13" s="416" t="s">
        <v>592</v>
      </c>
      <c r="I13" s="624" t="str">
        <f>IF(AND($C$7+$C$8+$C$9+$C$10+$C$11=0,$C$12=1,$C$13=1),"ДА","НЕТ")</f>
        <v>НЕТ</v>
      </c>
      <c r="J13" s="328"/>
      <c r="K13" s="326">
        <f t="shared" si="0"/>
        <v>0</v>
      </c>
      <c r="L13" s="405"/>
    </row>
    <row r="14" spans="1:12" ht="12.75">
      <c r="A14" s="439"/>
      <c r="B14" s="419" t="s">
        <v>361</v>
      </c>
      <c r="C14" s="462">
        <v>0</v>
      </c>
      <c r="D14" s="422" t="s">
        <v>287</v>
      </c>
      <c r="E14" s="423" t="s">
        <v>255</v>
      </c>
      <c r="F14" s="1239" t="s">
        <v>597</v>
      </c>
      <c r="G14" s="439"/>
      <c r="H14" s="416" t="s">
        <v>592</v>
      </c>
      <c r="I14" s="624" t="str">
        <f>IF(AND($C$7+$C$8+$C$9+$C$10+$C$11=0,$C$12=1,$C$13=1),"ДА","НЕТ")</f>
        <v>НЕТ</v>
      </c>
      <c r="J14" s="328"/>
      <c r="K14" s="326">
        <f t="shared" si="0"/>
        <v>0</v>
      </c>
      <c r="L14" s="405"/>
    </row>
    <row r="15" spans="1:12" ht="12.75">
      <c r="A15" s="439"/>
      <c r="B15" s="417" t="s">
        <v>362</v>
      </c>
      <c r="C15" s="461">
        <v>0</v>
      </c>
      <c r="D15" s="424" t="s">
        <v>287</v>
      </c>
      <c r="E15" s="425" t="s">
        <v>255</v>
      </c>
      <c r="F15" s="1240"/>
      <c r="G15" s="439"/>
      <c r="H15" s="413" t="s">
        <v>388</v>
      </c>
      <c r="I15" s="624" t="str">
        <f>IF(AND($C$7+$C$8+$C$9+$C$12=0,$C$10+$C$11=1,$C$13=2),"ДА","НЕТ")</f>
        <v>НЕТ</v>
      </c>
      <c r="J15" s="325"/>
      <c r="K15" s="326">
        <f t="shared" si="0"/>
        <v>0</v>
      </c>
      <c r="L15" s="405"/>
    </row>
    <row r="16" spans="1:12" ht="12.75">
      <c r="A16" s="439"/>
      <c r="B16" s="417" t="s">
        <v>467</v>
      </c>
      <c r="C16" s="461">
        <v>0</v>
      </c>
      <c r="D16" s="424" t="s">
        <v>287</v>
      </c>
      <c r="E16" s="425" t="s">
        <v>255</v>
      </c>
      <c r="F16" s="1240"/>
      <c r="G16" s="439"/>
      <c r="H16" s="416" t="s">
        <v>389</v>
      </c>
      <c r="I16" s="624" t="str">
        <f>IF(AND($C$7+$C$8+$C$9+$C$12=0,$C$10+$C$11=1,$C$13=2),"ДА","НЕТ")</f>
        <v>НЕТ</v>
      </c>
      <c r="J16" s="325"/>
      <c r="K16" s="326">
        <f t="shared" si="0"/>
        <v>0</v>
      </c>
      <c r="L16" s="405"/>
    </row>
    <row r="17" spans="1:12" ht="13.5" thickBot="1">
      <c r="A17" s="439"/>
      <c r="B17" s="417" t="s">
        <v>466</v>
      </c>
      <c r="C17" s="461">
        <v>0</v>
      </c>
      <c r="D17" s="427" t="s">
        <v>287</v>
      </c>
      <c r="E17" s="428" t="s">
        <v>255</v>
      </c>
      <c r="F17" s="1241"/>
      <c r="G17" s="439"/>
      <c r="H17" s="416" t="s">
        <v>390</v>
      </c>
      <c r="I17" s="624" t="str">
        <f>IF(AND($C$7+$C$8+$C$9+$C$12=0,$C$10+$C$11=1,$C$13=2),"ДА","НЕТ")</f>
        <v>НЕТ</v>
      </c>
      <c r="J17" s="325"/>
      <c r="K17" s="323">
        <f t="shared" si="0"/>
        <v>0</v>
      </c>
      <c r="L17" s="405"/>
    </row>
    <row r="18" spans="1:12" ht="13.5" thickBot="1">
      <c r="A18" s="439"/>
      <c r="B18" s="429" t="s">
        <v>123</v>
      </c>
      <c r="C18" s="566">
        <v>0</v>
      </c>
      <c r="D18" s="1277" t="s">
        <v>675</v>
      </c>
      <c r="E18" s="1278"/>
      <c r="F18" s="1279"/>
      <c r="G18" s="439"/>
      <c r="H18" s="413" t="s">
        <v>593</v>
      </c>
      <c r="I18" s="623" t="str">
        <f>IF(AND($C$7+$C$8+$C$9+$C$10+$C$11=0,$C$12=1,$C$13=2),"ДА","НЕТ")</f>
        <v>НЕТ</v>
      </c>
      <c r="J18" s="329"/>
      <c r="K18" s="330">
        <f t="shared" si="0"/>
        <v>0</v>
      </c>
      <c r="L18" s="405"/>
    </row>
    <row r="19" spans="1:12" ht="13.5" thickBot="1">
      <c r="A19" s="439"/>
      <c r="B19" s="729" t="s">
        <v>147</v>
      </c>
      <c r="C19" s="464">
        <v>0</v>
      </c>
      <c r="D19" s="1243" t="s">
        <v>686</v>
      </c>
      <c r="E19" s="1243"/>
      <c r="F19" s="1244"/>
      <c r="G19" s="439"/>
      <c r="H19" s="437" t="s">
        <v>594</v>
      </c>
      <c r="I19" s="634" t="str">
        <f>IF(AND($C$7+$C$8+$C$9+$C$10+$C$11=0,$C$12=1,$C$13=2),"ДА","НЕТ")</f>
        <v>НЕТ</v>
      </c>
      <c r="J19" s="332"/>
      <c r="K19" s="333">
        <f t="shared" si="0"/>
        <v>0</v>
      </c>
      <c r="L19" s="405"/>
    </row>
    <row r="20" spans="1:12" s="71" customFormat="1" ht="13.5" thickBot="1">
      <c r="A20" s="443"/>
      <c r="B20" s="730" t="s">
        <v>146</v>
      </c>
      <c r="C20" s="463">
        <v>0</v>
      </c>
      <c r="D20" s="1249" t="s">
        <v>687</v>
      </c>
      <c r="E20" s="1249"/>
      <c r="F20" s="1250"/>
      <c r="G20" s="443"/>
      <c r="H20" s="564"/>
      <c r="I20" s="728"/>
      <c r="J20" s="336"/>
      <c r="K20" s="337"/>
      <c r="L20" s="640"/>
    </row>
    <row r="21" spans="1:12" ht="13.5" thickBot="1">
      <c r="A21" s="439"/>
      <c r="B21" s="439"/>
      <c r="C21" s="439"/>
      <c r="D21" s="439"/>
      <c r="E21" s="439"/>
      <c r="F21" s="439"/>
      <c r="G21" s="439"/>
      <c r="H21" s="564"/>
      <c r="I21" s="728"/>
      <c r="J21" s="336"/>
      <c r="K21" s="337"/>
      <c r="L21" s="405"/>
    </row>
    <row r="22" spans="1:12" ht="12.75">
      <c r="A22" s="439"/>
      <c r="B22" s="444" t="s">
        <v>5</v>
      </c>
      <c r="C22" s="445" t="s">
        <v>0</v>
      </c>
      <c r="D22" s="631" t="s">
        <v>4</v>
      </c>
      <c r="E22" s="447" t="s">
        <v>8</v>
      </c>
      <c r="F22" s="439"/>
      <c r="G22" s="439"/>
      <c r="H22" s="439"/>
      <c r="I22" s="439"/>
      <c r="J22" s="439"/>
      <c r="K22" s="439"/>
      <c r="L22" s="405"/>
    </row>
    <row r="23" spans="1:12">
      <c r="A23" s="439"/>
      <c r="B23" s="449" t="s">
        <v>469</v>
      </c>
      <c r="C23" s="342">
        <f>(C4+C5+C6)*C18*C16</f>
        <v>0</v>
      </c>
      <c r="D23" s="551"/>
      <c r="E23" s="552">
        <f t="shared" ref="E23:E68" si="1">C23*D23</f>
        <v>0</v>
      </c>
      <c r="F23" s="439"/>
      <c r="G23" s="439"/>
      <c r="H23" s="439"/>
      <c r="I23" s="439"/>
      <c r="J23" s="439"/>
      <c r="K23" s="439"/>
      <c r="L23" s="405"/>
    </row>
    <row r="24" spans="1:12">
      <c r="A24" s="439"/>
      <c r="B24" s="449" t="s">
        <v>536</v>
      </c>
      <c r="C24" s="342">
        <f>C4*C17*(C4+C5+C6)</f>
        <v>0</v>
      </c>
      <c r="D24" s="343"/>
      <c r="E24" s="552">
        <f t="shared" si="1"/>
        <v>0</v>
      </c>
      <c r="F24" s="439"/>
      <c r="G24" s="439"/>
      <c r="H24" s="439"/>
      <c r="I24" s="439"/>
      <c r="J24" s="439"/>
      <c r="K24" s="439"/>
      <c r="L24" s="405"/>
    </row>
    <row r="25" spans="1:12">
      <c r="A25" s="439"/>
      <c r="B25" s="449" t="s">
        <v>117</v>
      </c>
      <c r="C25" s="342">
        <f>(C15+C14)*2*(C4+C5+C6)*C18</f>
        <v>0</v>
      </c>
      <c r="D25" s="343"/>
      <c r="E25" s="552">
        <f t="shared" si="1"/>
        <v>0</v>
      </c>
      <c r="F25" s="439"/>
      <c r="G25" s="439"/>
      <c r="H25" s="439"/>
      <c r="I25" s="439"/>
      <c r="J25" s="439"/>
      <c r="K25" s="439"/>
      <c r="L25" s="405"/>
    </row>
    <row r="26" spans="1:12">
      <c r="A26" s="439"/>
      <c r="B26" s="451" t="s">
        <v>440</v>
      </c>
      <c r="C26" s="347">
        <f>EVEN(ROUNDDOWN(IF(C18&gt;0,(C2/0.5)*C18,0),0))</f>
        <v>0</v>
      </c>
      <c r="D26" s="551"/>
      <c r="E26" s="552">
        <f t="shared" si="1"/>
        <v>0</v>
      </c>
      <c r="F26" s="439"/>
      <c r="G26" s="439"/>
      <c r="H26" s="439"/>
      <c r="I26" s="439"/>
      <c r="J26" s="439"/>
      <c r="K26" s="439"/>
      <c r="L26" s="405"/>
    </row>
    <row r="27" spans="1:12">
      <c r="A27" s="439"/>
      <c r="B27" s="451" t="s">
        <v>420</v>
      </c>
      <c r="C27" s="347">
        <f>IF(AND(C7+C8+C9&gt;0,C10+C11+C12=0),C18*2,0)</f>
        <v>0</v>
      </c>
      <c r="D27" s="551"/>
      <c r="E27" s="552">
        <f t="shared" si="1"/>
        <v>0</v>
      </c>
      <c r="F27" s="439"/>
      <c r="G27" s="439"/>
      <c r="H27" s="439"/>
      <c r="I27" s="439"/>
      <c r="J27" s="439"/>
      <c r="K27" s="439"/>
      <c r="L27" s="405"/>
    </row>
    <row r="28" spans="1:12">
      <c r="A28" s="439"/>
      <c r="B28" s="451" t="s">
        <v>420</v>
      </c>
      <c r="C28" s="347">
        <f>IF(AND(C7+C8+C9=0,C10+C11+C12&gt;0),C18,0)</f>
        <v>0</v>
      </c>
      <c r="D28" s="551"/>
      <c r="E28" s="552">
        <f t="shared" si="1"/>
        <v>0</v>
      </c>
      <c r="F28" s="439"/>
      <c r="G28" s="439"/>
      <c r="H28" s="439"/>
      <c r="I28" s="439"/>
      <c r="J28" s="439"/>
      <c r="K28" s="439"/>
      <c r="L28" s="405"/>
    </row>
    <row r="29" spans="1:12">
      <c r="A29" s="439"/>
      <c r="B29" s="451" t="s">
        <v>511</v>
      </c>
      <c r="C29" s="347">
        <f>IF(AND(C7+C8+C9&gt;0,C10+C11+C12=0),(C4+C5+C6-1)*C18,0)</f>
        <v>0</v>
      </c>
      <c r="D29" s="551"/>
      <c r="E29" s="552">
        <f t="shared" si="1"/>
        <v>0</v>
      </c>
      <c r="F29" s="439"/>
      <c r="G29" s="439"/>
      <c r="H29" s="439"/>
      <c r="I29" s="439"/>
      <c r="J29" s="439"/>
      <c r="K29" s="439"/>
      <c r="L29" s="405"/>
    </row>
    <row r="30" spans="1:12">
      <c r="A30" s="439"/>
      <c r="B30" s="451" t="s">
        <v>511</v>
      </c>
      <c r="C30" s="347">
        <f>IF(AND(C7+C8=0,C10+C11&gt;0),(C4+C5+C6)*C18,0)</f>
        <v>0</v>
      </c>
      <c r="D30" s="551"/>
      <c r="E30" s="552">
        <f t="shared" si="1"/>
        <v>0</v>
      </c>
      <c r="F30" s="439"/>
      <c r="G30" s="439"/>
      <c r="H30" s="439"/>
      <c r="I30" s="439"/>
      <c r="J30" s="439"/>
      <c r="K30" s="439"/>
      <c r="L30" s="405"/>
    </row>
    <row r="31" spans="1:12">
      <c r="A31" s="439"/>
      <c r="B31" s="449" t="s">
        <v>463</v>
      </c>
      <c r="C31" s="342">
        <f>C18</f>
        <v>0</v>
      </c>
      <c r="D31" s="551"/>
      <c r="E31" s="552">
        <f t="shared" si="1"/>
        <v>0</v>
      </c>
      <c r="F31" s="439"/>
      <c r="G31" s="439"/>
      <c r="H31" s="439"/>
      <c r="I31" s="439"/>
      <c r="J31" s="439"/>
      <c r="K31" s="439"/>
      <c r="L31" s="405"/>
    </row>
    <row r="32" spans="1:12">
      <c r="A32" s="439"/>
      <c r="B32" s="449" t="s">
        <v>464</v>
      </c>
      <c r="C32" s="350">
        <f>C18</f>
        <v>0</v>
      </c>
      <c r="D32" s="551"/>
      <c r="E32" s="552">
        <f t="shared" si="1"/>
        <v>0</v>
      </c>
      <c r="F32" s="439"/>
      <c r="G32" s="439"/>
      <c r="H32" s="439"/>
      <c r="I32" s="439"/>
      <c r="J32" s="439"/>
      <c r="K32" s="439"/>
      <c r="L32" s="405"/>
    </row>
    <row r="33" spans="1:12">
      <c r="A33" s="439"/>
      <c r="B33" s="449" t="s">
        <v>441</v>
      </c>
      <c r="C33" s="342">
        <f>C18*2</f>
        <v>0</v>
      </c>
      <c r="D33" s="551"/>
      <c r="E33" s="552">
        <f t="shared" si="1"/>
        <v>0</v>
      </c>
      <c r="F33" s="439"/>
      <c r="G33" s="439"/>
      <c r="H33" s="439"/>
      <c r="I33" s="439"/>
      <c r="J33" s="439"/>
      <c r="K33" s="439"/>
      <c r="L33" s="405"/>
    </row>
    <row r="34" spans="1:12">
      <c r="A34" s="439"/>
      <c r="B34" s="451" t="s">
        <v>445</v>
      </c>
      <c r="C34" s="342">
        <f>IF(C5+C6=0,C46+C49+C58,0)</f>
        <v>0</v>
      </c>
      <c r="D34" s="551"/>
      <c r="E34" s="552">
        <f t="shared" si="1"/>
        <v>0</v>
      </c>
      <c r="F34" s="439"/>
      <c r="G34" s="439"/>
      <c r="H34" s="439"/>
      <c r="I34" s="439"/>
      <c r="J34" s="439"/>
      <c r="K34" s="439"/>
      <c r="L34" s="405"/>
    </row>
    <row r="35" spans="1:12">
      <c r="A35" s="439"/>
      <c r="B35" s="451" t="s">
        <v>446</v>
      </c>
      <c r="C35" s="342">
        <f>IF(AND(C4&gt;0,C5+C6=0),C46+C49+C58+1,0)</f>
        <v>0</v>
      </c>
      <c r="D35" s="551"/>
      <c r="E35" s="552">
        <f t="shared" si="1"/>
        <v>0</v>
      </c>
      <c r="F35" s="439"/>
      <c r="G35" s="439"/>
      <c r="H35" s="439"/>
      <c r="I35" s="439"/>
      <c r="J35" s="439"/>
      <c r="K35" s="439"/>
      <c r="L35" s="405"/>
    </row>
    <row r="36" spans="1:12">
      <c r="A36" s="439"/>
      <c r="B36" s="451" t="s">
        <v>652</v>
      </c>
      <c r="C36" s="342">
        <f>IF(AND(C6&gt;0,C4+C5=0),C46+C49+C58,0)</f>
        <v>0</v>
      </c>
      <c r="D36" s="551"/>
      <c r="E36" s="552">
        <f>C36*D36</f>
        <v>0</v>
      </c>
      <c r="F36" s="439"/>
      <c r="G36" s="439"/>
      <c r="H36" s="439"/>
      <c r="I36" s="439"/>
      <c r="J36" s="439"/>
      <c r="K36" s="439"/>
      <c r="L36" s="405"/>
    </row>
    <row r="37" spans="1:12">
      <c r="A37" s="439"/>
      <c r="B37" s="451" t="s">
        <v>434</v>
      </c>
      <c r="C37" s="342">
        <f>IF(C4=0,(C5+C6)*(C46+C49+C58),0)</f>
        <v>0</v>
      </c>
      <c r="D37" s="551"/>
      <c r="E37" s="552">
        <f t="shared" si="1"/>
        <v>0</v>
      </c>
      <c r="F37" s="439"/>
      <c r="G37" s="439"/>
      <c r="H37" s="439"/>
      <c r="I37" s="439"/>
      <c r="J37" s="439"/>
      <c r="K37" s="439"/>
      <c r="L37" s="405"/>
    </row>
    <row r="38" spans="1:12">
      <c r="A38" s="439"/>
      <c r="B38" s="451" t="s">
        <v>682</v>
      </c>
      <c r="C38" s="342">
        <f>IF(C4+C5+C6&gt;0,C4+C5+C6-1,0)</f>
        <v>0</v>
      </c>
      <c r="D38" s="551"/>
      <c r="E38" s="552">
        <f t="shared" si="1"/>
        <v>0</v>
      </c>
      <c r="F38" s="439"/>
      <c r="G38" s="439"/>
      <c r="H38" s="439"/>
      <c r="I38" s="439"/>
      <c r="J38" s="439"/>
      <c r="K38" s="439"/>
      <c r="L38" s="405"/>
    </row>
    <row r="39" spans="1:12">
      <c r="A39" s="439"/>
      <c r="B39" s="449" t="s">
        <v>474</v>
      </c>
      <c r="C39" s="342">
        <f>C18*C2</f>
        <v>0</v>
      </c>
      <c r="D39" s="551"/>
      <c r="E39" s="552">
        <f t="shared" si="1"/>
        <v>0</v>
      </c>
      <c r="F39" s="439"/>
      <c r="G39" s="439"/>
      <c r="H39" s="439"/>
      <c r="I39" s="439"/>
      <c r="J39" s="439"/>
      <c r="K39" s="439"/>
      <c r="L39" s="405"/>
    </row>
    <row r="40" spans="1:12">
      <c r="A40" s="439"/>
      <c r="B40" s="449" t="s">
        <v>474</v>
      </c>
      <c r="C40" s="347">
        <f>C2*C16*C18</f>
        <v>0</v>
      </c>
      <c r="D40" s="348"/>
      <c r="E40" s="552">
        <f t="shared" si="1"/>
        <v>0</v>
      </c>
      <c r="F40" s="439"/>
      <c r="G40" s="439"/>
      <c r="H40" s="439"/>
      <c r="I40" s="439"/>
      <c r="J40" s="439"/>
      <c r="K40" s="439"/>
      <c r="L40" s="405"/>
    </row>
    <row r="41" spans="1:12">
      <c r="A41" s="439"/>
      <c r="B41" s="451" t="s">
        <v>363</v>
      </c>
      <c r="C41" s="347">
        <f>C15*2*C18</f>
        <v>0</v>
      </c>
      <c r="D41" s="551"/>
      <c r="E41" s="552">
        <f t="shared" si="1"/>
        <v>0</v>
      </c>
      <c r="F41" s="439"/>
      <c r="G41" s="439"/>
      <c r="H41" s="439"/>
      <c r="I41" s="439"/>
      <c r="J41" s="439"/>
      <c r="K41" s="439"/>
      <c r="L41" s="405"/>
    </row>
    <row r="42" spans="1:12">
      <c r="A42" s="439"/>
      <c r="B42" s="451" t="s">
        <v>477</v>
      </c>
      <c r="C42" s="347">
        <f>(C14+C17)*C2*C18</f>
        <v>0</v>
      </c>
      <c r="D42" s="553"/>
      <c r="E42" s="552">
        <f t="shared" si="1"/>
        <v>0</v>
      </c>
      <c r="F42" s="439"/>
      <c r="G42" s="439"/>
      <c r="H42" s="439"/>
      <c r="I42" s="439"/>
      <c r="J42" s="439"/>
      <c r="K42" s="439"/>
      <c r="L42" s="405"/>
    </row>
    <row r="43" spans="1:12">
      <c r="A43" s="439"/>
      <c r="B43" s="451" t="s">
        <v>537</v>
      </c>
      <c r="C43" s="347">
        <f>C17*C2*C18</f>
        <v>0</v>
      </c>
      <c r="D43" s="348"/>
      <c r="E43" s="552">
        <f t="shared" si="1"/>
        <v>0</v>
      </c>
      <c r="F43" s="439"/>
      <c r="G43" s="439"/>
      <c r="H43" s="439"/>
      <c r="I43" s="439"/>
      <c r="J43" s="439"/>
      <c r="K43" s="439"/>
      <c r="L43" s="405"/>
    </row>
    <row r="44" spans="1:12">
      <c r="A44" s="439"/>
      <c r="B44" s="451" t="s">
        <v>364</v>
      </c>
      <c r="C44" s="347">
        <f>C14*C2*C18</f>
        <v>0</v>
      </c>
      <c r="D44" s="348"/>
      <c r="E44" s="552">
        <f t="shared" si="1"/>
        <v>0</v>
      </c>
      <c r="F44" s="453"/>
      <c r="G44" s="439"/>
      <c r="H44" s="439"/>
      <c r="I44" s="439"/>
      <c r="J44" s="439"/>
      <c r="K44" s="439"/>
      <c r="L44" s="405"/>
    </row>
    <row r="45" spans="1:12">
      <c r="A45" s="439"/>
      <c r="B45" s="451" t="s">
        <v>365</v>
      </c>
      <c r="C45" s="354">
        <f>C15*C2*C18</f>
        <v>0</v>
      </c>
      <c r="D45" s="348"/>
      <c r="E45" s="552">
        <f t="shared" si="1"/>
        <v>0</v>
      </c>
      <c r="F45" s="439"/>
      <c r="G45" s="439"/>
      <c r="H45" s="439"/>
      <c r="I45" s="439"/>
      <c r="J45" s="439"/>
      <c r="K45" s="439"/>
      <c r="L45" s="405"/>
    </row>
    <row r="46" spans="1:12">
      <c r="A46" s="439"/>
      <c r="B46" s="451" t="s">
        <v>514</v>
      </c>
      <c r="C46" s="347">
        <f>((C4+C5+C6)-1)*C18</f>
        <v>0</v>
      </c>
      <c r="D46" s="589"/>
      <c r="E46" s="552">
        <f t="shared" si="1"/>
        <v>0</v>
      </c>
      <c r="F46" s="439"/>
      <c r="G46" s="439"/>
      <c r="H46" s="439"/>
      <c r="I46" s="439"/>
      <c r="J46" s="439"/>
      <c r="K46" s="439"/>
      <c r="L46" s="405"/>
    </row>
    <row r="47" spans="1:12" ht="11.25" customHeight="1">
      <c r="A47" s="439"/>
      <c r="B47" s="452" t="s">
        <v>506</v>
      </c>
      <c r="C47" s="399">
        <f>((C4+C5+C6)-1)*C18</f>
        <v>0</v>
      </c>
      <c r="D47" s="589"/>
      <c r="E47" s="552">
        <f t="shared" si="1"/>
        <v>0</v>
      </c>
      <c r="F47" s="439"/>
      <c r="G47" s="439"/>
      <c r="H47" s="439"/>
      <c r="I47" s="439"/>
      <c r="J47" s="439"/>
      <c r="K47" s="439"/>
      <c r="L47" s="405"/>
    </row>
    <row r="48" spans="1:12">
      <c r="A48" s="439"/>
      <c r="B48" s="452" t="s">
        <v>515</v>
      </c>
      <c r="C48" s="399">
        <f>((C4+C5+C6)-1)*C18</f>
        <v>0</v>
      </c>
      <c r="D48" s="589"/>
      <c r="E48" s="552">
        <f t="shared" si="1"/>
        <v>0</v>
      </c>
      <c r="F48" s="439"/>
      <c r="G48" s="439"/>
      <c r="H48" s="439"/>
      <c r="I48" s="439"/>
      <c r="J48" s="439"/>
      <c r="K48" s="439"/>
      <c r="L48" s="405"/>
    </row>
    <row r="49" spans="1:12">
      <c r="A49" s="439"/>
      <c r="B49" s="451" t="s">
        <v>505</v>
      </c>
      <c r="C49" s="347">
        <f>((C4+C5+C6)-1)*C18</f>
        <v>0</v>
      </c>
      <c r="D49" s="589"/>
      <c r="E49" s="552">
        <f t="shared" si="1"/>
        <v>0</v>
      </c>
      <c r="F49" s="439"/>
      <c r="G49" s="439"/>
      <c r="H49" s="439"/>
      <c r="I49" s="439"/>
      <c r="J49" s="439"/>
      <c r="K49" s="439"/>
      <c r="L49" s="405"/>
    </row>
    <row r="50" spans="1:12">
      <c r="A50" s="439"/>
      <c r="B50" s="451" t="s">
        <v>473</v>
      </c>
      <c r="C50" s="347">
        <f>C18*C2*C16</f>
        <v>0</v>
      </c>
      <c r="D50" s="551"/>
      <c r="E50" s="552">
        <f t="shared" si="1"/>
        <v>0</v>
      </c>
      <c r="F50" s="439"/>
      <c r="G50" s="439"/>
      <c r="H50" s="439"/>
      <c r="I50" s="439"/>
      <c r="J50" s="439"/>
      <c r="K50" s="439"/>
      <c r="L50" s="405"/>
    </row>
    <row r="51" spans="1:12">
      <c r="A51" s="439"/>
      <c r="B51" s="449" t="s">
        <v>461</v>
      </c>
      <c r="C51" s="342">
        <f>IF(AND(C4&gt;0,C5+C6=0),C2*C18,0)</f>
        <v>0</v>
      </c>
      <c r="D51" s="551"/>
      <c r="E51" s="552">
        <f t="shared" si="1"/>
        <v>0</v>
      </c>
      <c r="F51" s="439"/>
      <c r="G51" s="439"/>
      <c r="H51" s="439"/>
      <c r="I51" s="439"/>
      <c r="J51" s="439"/>
      <c r="K51" s="439"/>
      <c r="L51" s="405"/>
    </row>
    <row r="52" spans="1:12" ht="12" customHeight="1">
      <c r="A52" s="439"/>
      <c r="B52" s="449" t="s">
        <v>462</v>
      </c>
      <c r="C52" s="342">
        <f>IF(AND(C4+C6=0,C5&gt;0),C2*C18,0)</f>
        <v>0</v>
      </c>
      <c r="D52" s="551"/>
      <c r="E52" s="552">
        <f t="shared" si="1"/>
        <v>0</v>
      </c>
      <c r="F52" s="439"/>
      <c r="G52" s="439"/>
      <c r="H52" s="439"/>
      <c r="I52" s="439"/>
      <c r="J52" s="439"/>
      <c r="K52" s="439"/>
      <c r="L52" s="405"/>
    </row>
    <row r="53" spans="1:12" ht="12" customHeight="1">
      <c r="A53" s="439"/>
      <c r="B53" s="449" t="s">
        <v>601</v>
      </c>
      <c r="C53" s="342">
        <f>IF(AND(C5+C4=0,C6&gt;0),C2*C18,0)</f>
        <v>0</v>
      </c>
      <c r="D53" s="551">
        <v>1</v>
      </c>
      <c r="E53" s="552">
        <f>C53*D53</f>
        <v>0</v>
      </c>
      <c r="F53" s="439"/>
      <c r="G53" s="439"/>
      <c r="H53" s="439"/>
      <c r="I53" s="439"/>
      <c r="J53" s="439"/>
      <c r="K53" s="439"/>
      <c r="L53" s="405"/>
    </row>
    <row r="54" spans="1:12">
      <c r="A54" s="439"/>
      <c r="B54" s="449" t="s">
        <v>442</v>
      </c>
      <c r="C54" s="342">
        <f>C18*2</f>
        <v>0</v>
      </c>
      <c r="D54" s="551"/>
      <c r="E54" s="552">
        <f t="shared" si="1"/>
        <v>0</v>
      </c>
      <c r="F54" s="439"/>
      <c r="G54" s="439"/>
      <c r="H54" s="439"/>
      <c r="I54" s="439"/>
      <c r="J54" s="439"/>
      <c r="K54" s="439"/>
      <c r="L54" s="405"/>
    </row>
    <row r="55" spans="1:12">
      <c r="A55" s="439"/>
      <c r="B55" s="635" t="s">
        <v>483</v>
      </c>
      <c r="C55" s="399">
        <f>C2*C18</f>
        <v>0</v>
      </c>
      <c r="D55" s="554"/>
      <c r="E55" s="552">
        <f t="shared" si="1"/>
        <v>0</v>
      </c>
      <c r="F55" s="439"/>
      <c r="G55" s="439"/>
      <c r="H55" s="439"/>
      <c r="I55" s="439"/>
      <c r="J55" s="439"/>
      <c r="K55" s="439"/>
      <c r="L55" s="405"/>
    </row>
    <row r="56" spans="1:12">
      <c r="A56" s="439"/>
      <c r="B56" s="449" t="s">
        <v>443</v>
      </c>
      <c r="C56" s="342">
        <f>C18*C2</f>
        <v>0</v>
      </c>
      <c r="D56" s="551"/>
      <c r="E56" s="552">
        <f t="shared" si="1"/>
        <v>0</v>
      </c>
      <c r="F56" s="439"/>
      <c r="G56" s="439"/>
      <c r="H56" s="439"/>
      <c r="I56" s="439"/>
      <c r="J56" s="439"/>
      <c r="K56" s="439"/>
      <c r="L56" s="405"/>
    </row>
    <row r="57" spans="1:12">
      <c r="A57" s="439"/>
      <c r="B57" s="449" t="s">
        <v>444</v>
      </c>
      <c r="C57" s="342">
        <f>C18*C2</f>
        <v>0</v>
      </c>
      <c r="D57" s="551"/>
      <c r="E57" s="552">
        <f t="shared" si="1"/>
        <v>0</v>
      </c>
      <c r="F57" s="439"/>
      <c r="G57" s="439"/>
      <c r="H57" s="439"/>
      <c r="I57" s="439"/>
      <c r="J57" s="439"/>
      <c r="K57" s="439"/>
      <c r="L57" s="405"/>
    </row>
    <row r="58" spans="1:12">
      <c r="A58" s="439"/>
      <c r="B58" s="451" t="s">
        <v>423</v>
      </c>
      <c r="C58" s="347">
        <f>C18</f>
        <v>0</v>
      </c>
      <c r="D58" s="551"/>
      <c r="E58" s="552">
        <f t="shared" si="1"/>
        <v>0</v>
      </c>
      <c r="F58" s="439"/>
      <c r="G58" s="439"/>
      <c r="H58" s="439"/>
      <c r="I58" s="439"/>
      <c r="J58" s="439"/>
      <c r="K58" s="439"/>
      <c r="L58" s="405"/>
    </row>
    <row r="59" spans="1:12">
      <c r="A59" s="439"/>
      <c r="B59" s="451" t="s">
        <v>677</v>
      </c>
      <c r="C59" s="347">
        <f>C18*4</f>
        <v>0</v>
      </c>
      <c r="D59" s="551"/>
      <c r="E59" s="552">
        <f t="shared" si="1"/>
        <v>0</v>
      </c>
      <c r="F59" s="439"/>
      <c r="G59" s="439"/>
      <c r="H59" s="439"/>
      <c r="I59" s="439"/>
      <c r="J59" s="439"/>
      <c r="K59" s="439"/>
      <c r="L59" s="405"/>
    </row>
    <row r="60" spans="1:12">
      <c r="A60" s="439"/>
      <c r="B60" s="451" t="s">
        <v>516</v>
      </c>
      <c r="C60" s="347">
        <f>((C4+C5+C6+1)*2)*C18</f>
        <v>0</v>
      </c>
      <c r="D60" s="551"/>
      <c r="E60" s="552">
        <f t="shared" si="1"/>
        <v>0</v>
      </c>
      <c r="F60" s="439"/>
      <c r="G60" s="439"/>
      <c r="H60" s="439"/>
      <c r="I60" s="439"/>
      <c r="J60" s="439"/>
      <c r="K60" s="439"/>
      <c r="L60" s="405"/>
    </row>
    <row r="61" spans="1:12">
      <c r="A61" s="439"/>
      <c r="B61" s="452" t="s">
        <v>602</v>
      </c>
      <c r="C61" s="354">
        <f>C9*C18</f>
        <v>0</v>
      </c>
      <c r="D61" s="348"/>
      <c r="E61" s="344">
        <f t="shared" si="1"/>
        <v>0</v>
      </c>
      <c r="F61" s="439"/>
      <c r="G61" s="439"/>
      <c r="H61" s="439"/>
      <c r="I61" s="439"/>
      <c r="J61" s="439"/>
      <c r="K61" s="439"/>
      <c r="L61" s="405"/>
    </row>
    <row r="62" spans="1:12">
      <c r="A62" s="439"/>
      <c r="B62" s="452" t="s">
        <v>603</v>
      </c>
      <c r="C62" s="354">
        <f>C18*C12</f>
        <v>0</v>
      </c>
      <c r="D62" s="348"/>
      <c r="E62" s="344">
        <f t="shared" si="1"/>
        <v>0</v>
      </c>
      <c r="F62" s="439"/>
      <c r="G62" s="439"/>
      <c r="H62" s="439"/>
      <c r="I62" s="439"/>
      <c r="J62" s="439"/>
      <c r="K62" s="439"/>
      <c r="L62" s="405"/>
    </row>
    <row r="63" spans="1:12">
      <c r="A63" s="439"/>
      <c r="B63" s="452" t="s">
        <v>378</v>
      </c>
      <c r="C63" s="354">
        <f>C7*C18</f>
        <v>0</v>
      </c>
      <c r="D63" s="553"/>
      <c r="E63" s="552">
        <f t="shared" si="1"/>
        <v>0</v>
      </c>
      <c r="F63" s="439"/>
      <c r="G63" s="439"/>
      <c r="H63" s="439"/>
      <c r="I63" s="439"/>
      <c r="J63" s="439"/>
      <c r="K63" s="439"/>
      <c r="L63" s="405"/>
    </row>
    <row r="64" spans="1:12">
      <c r="A64" s="439"/>
      <c r="B64" s="452" t="s">
        <v>598</v>
      </c>
      <c r="C64" s="354">
        <f>C10*C18</f>
        <v>0</v>
      </c>
      <c r="D64" s="553"/>
      <c r="E64" s="552">
        <f t="shared" si="1"/>
        <v>0</v>
      </c>
      <c r="F64" s="439"/>
      <c r="G64" s="439"/>
      <c r="H64" s="439"/>
      <c r="I64" s="439"/>
      <c r="J64" s="439"/>
      <c r="K64" s="439"/>
      <c r="L64" s="405"/>
    </row>
    <row r="65" spans="1:12">
      <c r="A65" s="439"/>
      <c r="B65" s="452" t="s">
        <v>436</v>
      </c>
      <c r="C65" s="354">
        <f>C8*C18</f>
        <v>0</v>
      </c>
      <c r="D65" s="553"/>
      <c r="E65" s="552">
        <f t="shared" si="1"/>
        <v>0</v>
      </c>
      <c r="F65" s="439"/>
      <c r="G65" s="439"/>
      <c r="H65" s="439"/>
      <c r="I65" s="439"/>
      <c r="J65" s="439"/>
      <c r="K65" s="439"/>
      <c r="L65" s="405"/>
    </row>
    <row r="66" spans="1:12">
      <c r="A66" s="439"/>
      <c r="B66" s="525" t="s">
        <v>145</v>
      </c>
      <c r="C66" s="506">
        <f>C20</f>
        <v>0</v>
      </c>
      <c r="D66" s="522"/>
      <c r="E66" s="400">
        <f t="shared" si="1"/>
        <v>0</v>
      </c>
      <c r="F66" s="439"/>
      <c r="G66" s="439"/>
      <c r="H66" s="439"/>
      <c r="I66" s="439"/>
      <c r="J66" s="439"/>
      <c r="K66" s="439"/>
      <c r="L66" s="405"/>
    </row>
    <row r="67" spans="1:12">
      <c r="A67" s="439"/>
      <c r="B67" s="525" t="s">
        <v>148</v>
      </c>
      <c r="C67" s="506">
        <f>C19</f>
        <v>0</v>
      </c>
      <c r="D67" s="522"/>
      <c r="E67" s="400">
        <f t="shared" si="1"/>
        <v>0</v>
      </c>
      <c r="F67" s="439"/>
      <c r="G67" s="439"/>
      <c r="H67" s="439"/>
      <c r="I67" s="439"/>
      <c r="J67" s="439"/>
      <c r="K67" s="439"/>
      <c r="L67" s="405"/>
    </row>
    <row r="68" spans="1:12" ht="12" thickBot="1">
      <c r="A68" s="439"/>
      <c r="B68" s="454" t="s">
        <v>599</v>
      </c>
      <c r="C68" s="402">
        <f>C11*C18</f>
        <v>0</v>
      </c>
      <c r="D68" s="590"/>
      <c r="E68" s="556">
        <f t="shared" si="1"/>
        <v>0</v>
      </c>
      <c r="F68" s="439"/>
      <c r="G68" s="439"/>
      <c r="H68" s="439"/>
      <c r="I68" s="439"/>
      <c r="J68" s="439"/>
      <c r="K68" s="439"/>
      <c r="L68" s="405"/>
    </row>
    <row r="69" spans="1:12" ht="13.5" thickBot="1">
      <c r="A69" s="439"/>
      <c r="B69" s="439"/>
      <c r="C69" s="439"/>
      <c r="D69" s="689" t="s">
        <v>9</v>
      </c>
      <c r="E69" s="527">
        <f>SUMIF(E23:E68,"&gt;0",E23:E68)</f>
        <v>0</v>
      </c>
      <c r="F69" s="439"/>
      <c r="G69" s="439"/>
      <c r="H69" s="439"/>
      <c r="I69" s="439"/>
      <c r="J69" s="439"/>
      <c r="K69" s="439"/>
      <c r="L69" s="405"/>
    </row>
    <row r="70" spans="1:12">
      <c r="A70" s="439"/>
      <c r="B70" s="439"/>
      <c r="C70" s="439"/>
      <c r="D70" s="439"/>
      <c r="E70" s="439"/>
      <c r="F70" s="439"/>
      <c r="G70" s="439"/>
      <c r="H70" s="439"/>
      <c r="I70" s="439"/>
      <c r="J70" s="439"/>
      <c r="K70" s="439"/>
      <c r="L70" s="405"/>
    </row>
    <row r="71" spans="1:12">
      <c r="A71" s="439"/>
      <c r="B71" s="439"/>
      <c r="C71" s="439"/>
      <c r="D71" s="439"/>
      <c r="E71" s="439"/>
      <c r="F71" s="439"/>
      <c r="G71" s="439"/>
      <c r="H71" s="439"/>
      <c r="I71" s="439"/>
      <c r="J71" s="439"/>
      <c r="K71" s="439"/>
      <c r="L71" s="405"/>
    </row>
    <row r="72" spans="1:12" ht="11.25" customHeight="1">
      <c r="A72" s="439"/>
      <c r="B72" s="439"/>
      <c r="C72" s="439"/>
      <c r="D72" s="439"/>
      <c r="E72" s="439"/>
      <c r="F72" s="439"/>
      <c r="G72" s="439"/>
      <c r="H72" s="439"/>
      <c r="I72" s="439"/>
      <c r="J72" s="439"/>
      <c r="K72" s="439"/>
      <c r="L72" s="405"/>
    </row>
    <row r="73" spans="1:12">
      <c r="A73" s="439"/>
      <c r="B73" s="439"/>
      <c r="C73" s="439"/>
      <c r="D73" s="439"/>
      <c r="E73" s="439"/>
      <c r="F73" s="439"/>
      <c r="G73" s="439"/>
      <c r="H73" s="439"/>
      <c r="I73" s="439"/>
      <c r="J73" s="439"/>
      <c r="K73" s="439"/>
      <c r="L73" s="405"/>
    </row>
    <row r="74" spans="1:12">
      <c r="A74" s="439"/>
      <c r="B74" s="439"/>
      <c r="C74" s="439"/>
      <c r="D74" s="439"/>
      <c r="E74" s="439"/>
      <c r="F74" s="439"/>
      <c r="G74" s="439"/>
      <c r="H74" s="439"/>
      <c r="I74" s="439"/>
      <c r="J74" s="439"/>
      <c r="K74" s="439"/>
      <c r="L74" s="405"/>
    </row>
    <row r="75" spans="1:12">
      <c r="A75" s="439"/>
      <c r="B75" s="439"/>
      <c r="C75" s="439"/>
      <c r="D75" s="439"/>
      <c r="E75" s="439"/>
      <c r="F75" s="439"/>
      <c r="G75" s="439"/>
      <c r="H75" s="439"/>
      <c r="I75" s="439"/>
      <c r="J75" s="439"/>
      <c r="K75" s="439"/>
      <c r="L75" s="405"/>
    </row>
    <row r="76" spans="1:12">
      <c r="A76" s="439"/>
      <c r="B76" s="439"/>
      <c r="C76" s="439"/>
      <c r="D76" s="439"/>
      <c r="E76" s="439"/>
      <c r="F76" s="439"/>
      <c r="G76" s="439"/>
      <c r="H76" s="439"/>
      <c r="I76" s="439"/>
      <c r="J76" s="439"/>
      <c r="K76" s="439"/>
      <c r="L76" s="405"/>
    </row>
    <row r="77" spans="1:12" ht="11.25" customHeight="1">
      <c r="A77" s="405"/>
      <c r="B77" s="405"/>
      <c r="C77" s="405"/>
      <c r="D77" s="405"/>
      <c r="E77" s="405"/>
      <c r="F77" s="405"/>
      <c r="G77" s="405"/>
      <c r="H77" s="405"/>
      <c r="I77" s="405"/>
      <c r="J77" s="405"/>
      <c r="K77" s="405"/>
      <c r="L77" s="405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432" priority="92" operator="greaterThan">
      <formula>0</formula>
    </cfRule>
  </conditionalFormatting>
  <conditionalFormatting sqref="C13">
    <cfRule type="cellIs" dxfId="431" priority="91" operator="greaterThan">
      <formula>0</formula>
    </cfRule>
  </conditionalFormatting>
  <conditionalFormatting sqref="C13">
    <cfRule type="cellIs" dxfId="430" priority="90" operator="greaterThan">
      <formula>0</formula>
    </cfRule>
  </conditionalFormatting>
  <conditionalFormatting sqref="J3:J21">
    <cfRule type="cellIs" dxfId="429" priority="25" operator="greaterThan">
      <formula>0</formula>
    </cfRule>
    <cfRule type="cellIs" dxfId="428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427" priority="46" operator="equal">
      <formula>"ДА"</formula>
    </cfRule>
    <cfRule type="cellIs" dxfId="426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25" priority="43" operator="equal">
      <formula>"ДА"</formula>
    </cfRule>
    <cfRule type="cellIs" dxfId="424" priority="44" operator="equal">
      <formula>"НЕТ"</formula>
    </cfRule>
  </conditionalFormatting>
  <conditionalFormatting sqref="I5">
    <cfRule type="cellIs" dxfId="423" priority="40" operator="equal">
      <formula>"ДА"</formula>
    </cfRule>
    <cfRule type="cellIs" dxfId="422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21" priority="36" operator="equal">
      <formula>"ДА"</formula>
    </cfRule>
    <cfRule type="cellIs" dxfId="420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419" priority="32" operator="equal">
      <formula>"ДА"</formula>
    </cfRule>
    <cfRule type="cellIs" dxfId="418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417" priority="30" operator="equal">
      <formula>"ДА"</formula>
    </cfRule>
    <cfRule type="cellIs" dxfId="416" priority="31" operator="equal">
      <formula>"НЕТ"</formula>
    </cfRule>
  </conditionalFormatting>
  <conditionalFormatting sqref="I19:I21">
    <cfRule type="cellIs" dxfId="415" priority="28" operator="equal">
      <formula>"ДА"</formula>
    </cfRule>
    <cfRule type="cellIs" dxfId="414" priority="29" operator="equal">
      <formula>"НЕТ"</formula>
    </cfRule>
  </conditionalFormatting>
  <conditionalFormatting sqref="K3:K21">
    <cfRule type="cellIs" dxfId="413" priority="27" operator="greaterThan">
      <formula>0</formula>
    </cfRule>
  </conditionalFormatting>
  <conditionalFormatting sqref="I15:I21">
    <cfRule type="cellIs" dxfId="412" priority="24" operator="equal">
      <formula>"НЕТ"</formula>
    </cfRule>
  </conditionalFormatting>
  <conditionalFormatting sqref="I3:I21">
    <cfRule type="cellIs" dxfId="411" priority="22" operator="equal">
      <formula>"НЕТ"</formula>
    </cfRule>
    <cfRule type="cellIs" dxfId="410" priority="23" operator="equal">
      <formula>"ДА"</formula>
    </cfRule>
  </conditionalFormatting>
  <conditionalFormatting sqref="I3:I18">
    <cfRule type="cellIs" dxfId="409" priority="21" operator="equal">
      <formula>"ДА"</formula>
    </cfRule>
  </conditionalFormatting>
  <conditionalFormatting sqref="I5">
    <cfRule type="cellIs" dxfId="408" priority="18" operator="equal">
      <formula>"ДА"</formula>
    </cfRule>
    <cfRule type="cellIs" dxfId="407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06" priority="15" operator="equal">
      <formula>"ДА"</formula>
    </cfRule>
    <cfRule type="cellIs" dxfId="405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04" priority="3" operator="greaterThan">
      <formula>0</formula>
    </cfRule>
    <cfRule type="cellIs" dxfId="403" priority="14" operator="greaterThan">
      <formula>0</formula>
    </cfRule>
  </conditionalFormatting>
  <conditionalFormatting sqref="C61:E61">
    <cfRule type="cellIs" dxfId="402" priority="13" operator="greaterThan">
      <formula>0</formula>
    </cfRule>
  </conditionalFormatting>
  <conditionalFormatting sqref="C62:E62">
    <cfRule type="cellIs" dxfId="401" priority="12" operator="greaterThan">
      <formula>0</formula>
    </cfRule>
  </conditionalFormatting>
  <conditionalFormatting sqref="C61:E62">
    <cfRule type="cellIs" dxfId="400" priority="11" operator="greaterThan">
      <formula>0</formula>
    </cfRule>
  </conditionalFormatting>
  <conditionalFormatting sqref="C61:E62">
    <cfRule type="cellIs" dxfId="399" priority="10" operator="greaterThan">
      <formula>0</formula>
    </cfRule>
  </conditionalFormatting>
  <conditionalFormatting sqref="I5">
    <cfRule type="cellIs" dxfId="398" priority="7" operator="equal">
      <formula>"ДА"</formula>
    </cfRule>
    <cfRule type="cellIs" dxfId="397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96" priority="6" operator="greaterThan">
      <formula>0</formula>
    </cfRule>
  </conditionalFormatting>
  <conditionalFormatting sqref="C68:E68 C23:E65">
    <cfRule type="cellIs" dxfId="395" priority="5" operator="greaterThan">
      <formula>0</formula>
    </cfRule>
  </conditionalFormatting>
  <conditionalFormatting sqref="E69">
    <cfRule type="cellIs" dxfId="394" priority="4" operator="greaterThan">
      <formula>0</formula>
    </cfRule>
  </conditionalFormatting>
  <conditionalFormatting sqref="C19:C20">
    <cfRule type="cellIs" dxfId="393" priority="2" operator="greaterThan">
      <formula>0</formula>
    </cfRule>
  </conditionalFormatting>
  <conditionalFormatting sqref="C66:E67">
    <cfRule type="cellIs" dxfId="39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0" t="s">
        <v>573</v>
      </c>
      <c r="B1" s="1051"/>
      <c r="C1" s="1051"/>
      <c r="D1" s="1051"/>
      <c r="E1" s="284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2" t="s">
        <v>122</v>
      </c>
      <c r="I2" s="1053"/>
      <c r="J2" s="1053"/>
      <c r="K2" s="1053"/>
      <c r="L2" s="1053"/>
      <c r="M2" s="1054"/>
    </row>
    <row r="3" spans="1:13" ht="12" thickBot="1">
      <c r="A3" s="9" t="s">
        <v>10</v>
      </c>
      <c r="B3" s="864">
        <v>1.4</v>
      </c>
      <c r="C3" s="13"/>
      <c r="D3" s="13"/>
      <c r="E3" s="13"/>
      <c r="F3" s="14"/>
      <c r="H3" s="1055"/>
      <c r="I3" s="1056"/>
      <c r="J3" s="1056"/>
      <c r="K3" s="1056"/>
      <c r="L3" s="1056"/>
      <c r="M3" s="1057"/>
    </row>
    <row r="4" spans="1:13">
      <c r="A4" s="9" t="s">
        <v>1</v>
      </c>
      <c r="B4" s="864">
        <v>1</v>
      </c>
      <c r="C4" s="13"/>
      <c r="D4" s="13"/>
      <c r="E4" s="13"/>
      <c r="F4" s="14"/>
    </row>
    <row r="5" spans="1:13">
      <c r="A5" s="9" t="s">
        <v>2</v>
      </c>
      <c r="B5" s="864">
        <v>1</v>
      </c>
      <c r="C5" s="13"/>
      <c r="D5" s="13"/>
      <c r="E5" s="13"/>
      <c r="F5" s="14"/>
    </row>
    <row r="6" spans="1:13">
      <c r="A6" s="9" t="s">
        <v>130</v>
      </c>
      <c r="B6" s="864">
        <v>10</v>
      </c>
      <c r="C6" s="13"/>
      <c r="D6" s="13"/>
      <c r="E6" s="13"/>
      <c r="F6" s="14"/>
    </row>
    <row r="7" spans="1:13">
      <c r="A7" s="9" t="s">
        <v>568</v>
      </c>
      <c r="B7" s="864">
        <v>2</v>
      </c>
      <c r="C7" s="13"/>
      <c r="D7" s="13"/>
      <c r="E7" s="13"/>
      <c r="F7" s="14"/>
    </row>
    <row r="8" spans="1:13">
      <c r="A8" s="9" t="s">
        <v>571</v>
      </c>
      <c r="B8" s="864">
        <v>2</v>
      </c>
      <c r="C8" s="13"/>
      <c r="D8" s="13"/>
      <c r="E8" s="13"/>
      <c r="F8" s="14"/>
    </row>
    <row r="9" spans="1:13" ht="12" thickBot="1">
      <c r="A9" s="10" t="s">
        <v>572</v>
      </c>
      <c r="B9" s="865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0">
        <v>9</v>
      </c>
      <c r="D13" s="121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0"/>
      <c r="D14" s="121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0"/>
      <c r="D15" s="121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0"/>
      <c r="D16" s="121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0"/>
      <c r="D17" s="121">
        <f>B5</f>
        <v>1</v>
      </c>
      <c r="E17" s="26"/>
      <c r="F17" s="14"/>
    </row>
    <row r="18" spans="1:6">
      <c r="A18" s="23" t="s">
        <v>575</v>
      </c>
      <c r="B18" s="24"/>
      <c r="C18" s="740"/>
      <c r="D18" s="121">
        <f>D16</f>
        <v>1.39</v>
      </c>
      <c r="E18" s="26"/>
      <c r="F18" s="14"/>
    </row>
    <row r="19" spans="1:6">
      <c r="A19" s="23" t="s">
        <v>115</v>
      </c>
      <c r="B19" s="28"/>
      <c r="C19" s="742"/>
      <c r="D19" s="121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0"/>
      <c r="D20" s="121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0"/>
      <c r="D21" s="121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0"/>
      <c r="D22" s="121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5"/>
      <c r="D23" s="121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5"/>
      <c r="D24" s="121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0"/>
      <c r="D25" s="121">
        <f>B3*B5</f>
        <v>1.4</v>
      </c>
      <c r="E25" s="26">
        <f t="shared" si="0"/>
        <v>0</v>
      </c>
      <c r="F25" s="14"/>
    </row>
    <row r="26" spans="1:6">
      <c r="A26" s="23" t="s">
        <v>566</v>
      </c>
      <c r="B26" s="24"/>
      <c r="C26" s="740"/>
      <c r="D26" s="121">
        <f>B5</f>
        <v>1</v>
      </c>
      <c r="E26" s="26">
        <f>C26*D26</f>
        <v>0</v>
      </c>
      <c r="F26" s="14"/>
    </row>
    <row r="27" spans="1:6">
      <c r="A27" s="23" t="s">
        <v>570</v>
      </c>
      <c r="B27" s="24"/>
      <c r="C27" s="745"/>
      <c r="D27" s="121">
        <f>B8</f>
        <v>2</v>
      </c>
      <c r="E27" s="26">
        <f>D27*C27</f>
        <v>0</v>
      </c>
      <c r="F27" s="14"/>
    </row>
    <row r="28" spans="1:6">
      <c r="A28" s="23" t="s">
        <v>569</v>
      </c>
      <c r="B28" s="24"/>
      <c r="C28" s="745"/>
      <c r="D28" s="121">
        <f>B6</f>
        <v>10</v>
      </c>
      <c r="E28" s="26">
        <f>D28*C28</f>
        <v>0</v>
      </c>
      <c r="F28" s="14"/>
    </row>
    <row r="29" spans="1:6">
      <c r="A29" s="24" t="s">
        <v>567</v>
      </c>
      <c r="B29" s="285"/>
      <c r="C29" s="835"/>
      <c r="D29" s="285">
        <f>B7</f>
        <v>2</v>
      </c>
      <c r="E29" s="26">
        <f>D29*C29</f>
        <v>0</v>
      </c>
      <c r="F29" s="14"/>
    </row>
    <row r="30" spans="1:6">
      <c r="A30" s="16"/>
      <c r="B30" s="13"/>
      <c r="C30" s="861"/>
      <c r="D30" s="13"/>
      <c r="E30" s="35">
        <f>SUM(E13:E28)</f>
        <v>36</v>
      </c>
      <c r="F30" s="14"/>
    </row>
    <row r="31" spans="1:6">
      <c r="A31" s="16"/>
      <c r="B31" s="13"/>
      <c r="C31" s="861"/>
      <c r="D31" s="13"/>
      <c r="E31" s="13"/>
      <c r="F31" s="14"/>
    </row>
    <row r="32" spans="1:6" ht="12" thickBot="1">
      <c r="A32" s="18" t="s">
        <v>22</v>
      </c>
      <c r="B32" s="19"/>
      <c r="C32" s="862"/>
      <c r="D32" s="19"/>
      <c r="E32" s="13"/>
      <c r="F32" s="14"/>
    </row>
    <row r="33" spans="1:6">
      <c r="A33" s="36" t="s">
        <v>35</v>
      </c>
      <c r="B33" s="21"/>
      <c r="C33" s="863"/>
      <c r="D33" s="21"/>
      <c r="E33" s="12"/>
      <c r="F33" s="14"/>
    </row>
    <row r="34" spans="1:6" ht="12" thickBot="1">
      <c r="A34" s="30" t="s">
        <v>25</v>
      </c>
      <c r="B34" s="31"/>
      <c r="C34" s="752"/>
      <c r="D34" s="33">
        <f>(B4-0.07)*2*B5</f>
        <v>1.8599999999999999</v>
      </c>
      <c r="E34" s="34">
        <f>D34*C34</f>
        <v>0</v>
      </c>
      <c r="F34" s="14"/>
    </row>
    <row r="35" spans="1:6">
      <c r="A35" s="1058" t="s">
        <v>26</v>
      </c>
      <c r="B35" s="1059"/>
      <c r="C35" s="1059"/>
      <c r="D35" s="1060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05"/>
      <c r="B1" s="1273"/>
      <c r="C1" s="1274"/>
      <c r="D1" s="1274"/>
      <c r="E1" s="1274"/>
      <c r="F1" s="405"/>
      <c r="G1" s="405"/>
      <c r="H1" s="405"/>
      <c r="I1" s="405"/>
      <c r="J1" s="405"/>
      <c r="K1" s="405"/>
      <c r="L1" s="405"/>
      <c r="M1" s="405"/>
    </row>
    <row r="2" spans="1:13" ht="12" customHeight="1" thickBot="1">
      <c r="A2" s="405"/>
      <c r="B2" s="407" t="s">
        <v>666</v>
      </c>
      <c r="C2" s="458">
        <v>3</v>
      </c>
      <c r="D2" s="1231" t="s">
        <v>595</v>
      </c>
      <c r="E2" s="1232"/>
      <c r="F2" s="1233"/>
      <c r="G2" s="439"/>
      <c r="H2" s="409" t="s">
        <v>485</v>
      </c>
      <c r="I2" s="410" t="s">
        <v>604</v>
      </c>
      <c r="J2" s="476" t="s">
        <v>4</v>
      </c>
      <c r="K2" s="477" t="s">
        <v>8</v>
      </c>
      <c r="L2" s="405"/>
      <c r="M2" s="405"/>
    </row>
    <row r="3" spans="1:13" ht="12" customHeight="1" thickBot="1">
      <c r="A3" s="405"/>
      <c r="B3" s="412" t="s">
        <v>667</v>
      </c>
      <c r="C3" s="590">
        <v>1</v>
      </c>
      <c r="D3" s="1234"/>
      <c r="E3" s="1235"/>
      <c r="F3" s="1236"/>
      <c r="G3" s="439"/>
      <c r="H3" s="413" t="s">
        <v>372</v>
      </c>
      <c r="I3" s="414" t="str">
        <f>IF(AND($C$7=1,$C$5+$C$6+$C$8=0,$C$9=2),"ДА","НЕТ")</f>
        <v>НЕТ</v>
      </c>
      <c r="J3" s="318"/>
      <c r="K3" s="319">
        <f>IF(I3="ДА",$C$10*J3,0)</f>
        <v>0</v>
      </c>
      <c r="L3" s="405"/>
      <c r="M3" s="405"/>
    </row>
    <row r="4" spans="1:13" ht="12" customHeight="1" thickBot="1">
      <c r="A4" s="405"/>
      <c r="B4" s="429" t="s">
        <v>127</v>
      </c>
      <c r="C4" s="594">
        <v>2</v>
      </c>
      <c r="D4" s="1277" t="s">
        <v>128</v>
      </c>
      <c r="E4" s="1278"/>
      <c r="F4" s="1279"/>
      <c r="G4" s="439"/>
      <c r="H4" s="416" t="s">
        <v>373</v>
      </c>
      <c r="I4" s="414" t="str">
        <f>IF(AND($C$7=1,$C$5+$C$6+$C$8=0,$C$9=2),"ДА","НЕТ")</f>
        <v>НЕТ</v>
      </c>
      <c r="J4" s="395"/>
      <c r="K4" s="319">
        <f>IF(I4="ДА",$C$10*J4,0)</f>
        <v>0</v>
      </c>
      <c r="L4" s="405"/>
      <c r="M4" s="405"/>
    </row>
    <row r="5" spans="1:13" ht="12" customHeight="1">
      <c r="A5" s="405"/>
      <c r="B5" s="419" t="s">
        <v>492</v>
      </c>
      <c r="C5" s="603">
        <v>0</v>
      </c>
      <c r="D5" s="422" t="s">
        <v>287</v>
      </c>
      <c r="E5" s="690" t="s">
        <v>255</v>
      </c>
      <c r="F5" s="1240" t="s">
        <v>597</v>
      </c>
      <c r="G5" s="439"/>
      <c r="H5" s="416" t="s">
        <v>374</v>
      </c>
      <c r="I5" s="414" t="str">
        <f>IF(AND($C$7=1,$C$5+$C$6+$C$8=0,$C$9=2),"ДА","НЕТ")</f>
        <v>НЕТ</v>
      </c>
      <c r="J5" s="395"/>
      <c r="K5" s="319">
        <f t="shared" ref="K5:K17" si="0">IF(I5="ДА",$C$10*J5,0)</f>
        <v>0</v>
      </c>
      <c r="L5" s="405"/>
      <c r="M5" s="405"/>
    </row>
    <row r="6" spans="1:13" ht="12" customHeight="1">
      <c r="A6" s="405"/>
      <c r="B6" s="417" t="s">
        <v>493</v>
      </c>
      <c r="C6" s="602">
        <v>1</v>
      </c>
      <c r="D6" s="424" t="s">
        <v>287</v>
      </c>
      <c r="E6" s="644" t="s">
        <v>255</v>
      </c>
      <c r="F6" s="1240"/>
      <c r="G6" s="439"/>
      <c r="H6" s="418" t="s">
        <v>376</v>
      </c>
      <c r="I6" s="414" t="str">
        <f>IF(AND($C$7=1,$C$5+$C$6+$C$8=0,$C$9=3),"ДА","НЕТ")</f>
        <v>НЕТ</v>
      </c>
      <c r="J6" s="322"/>
      <c r="K6" s="319">
        <f t="shared" si="0"/>
        <v>0</v>
      </c>
      <c r="L6" s="405"/>
      <c r="M6" s="405"/>
    </row>
    <row r="7" spans="1:13" ht="12" customHeight="1">
      <c r="A7" s="405"/>
      <c r="B7" s="417" t="s">
        <v>490</v>
      </c>
      <c r="C7" s="602">
        <v>0</v>
      </c>
      <c r="D7" s="424" t="s">
        <v>287</v>
      </c>
      <c r="E7" s="644" t="s">
        <v>255</v>
      </c>
      <c r="F7" s="1240"/>
      <c r="G7" s="439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  <c r="L7" s="405"/>
      <c r="M7" s="405"/>
    </row>
    <row r="8" spans="1:13" ht="12" customHeight="1" thickBot="1">
      <c r="A8" s="405"/>
      <c r="B8" s="440" t="s">
        <v>491</v>
      </c>
      <c r="C8" s="601">
        <v>0</v>
      </c>
      <c r="D8" s="427" t="s">
        <v>287</v>
      </c>
      <c r="E8" s="431" t="s">
        <v>255</v>
      </c>
      <c r="F8" s="1241"/>
      <c r="G8" s="439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  <c r="L8" s="405"/>
      <c r="M8" s="405"/>
    </row>
    <row r="9" spans="1:13" ht="12" customHeight="1" thickBot="1">
      <c r="A9" s="405"/>
      <c r="B9" s="429" t="s">
        <v>589</v>
      </c>
      <c r="C9" s="593">
        <v>0</v>
      </c>
      <c r="D9" s="433" t="s">
        <v>619</v>
      </c>
      <c r="E9" s="434" t="s">
        <v>620</v>
      </c>
      <c r="F9" s="436" t="s">
        <v>621</v>
      </c>
      <c r="G9" s="439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  <c r="L9" s="405"/>
      <c r="M9" s="405"/>
    </row>
    <row r="10" spans="1:13" ht="12" customHeight="1" thickBot="1">
      <c r="A10" s="405"/>
      <c r="B10" s="419" t="s">
        <v>123</v>
      </c>
      <c r="C10" s="595">
        <v>1</v>
      </c>
      <c r="D10" s="1277" t="s">
        <v>675</v>
      </c>
      <c r="E10" s="1278"/>
      <c r="F10" s="1279"/>
      <c r="G10" s="439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  <c r="L10" s="405"/>
      <c r="M10" s="405"/>
    </row>
    <row r="11" spans="1:13" ht="12" customHeight="1" thickBot="1">
      <c r="A11" s="405"/>
      <c r="B11" s="429" t="s">
        <v>358</v>
      </c>
      <c r="C11" s="593">
        <v>0</v>
      </c>
      <c r="D11" s="433" t="s">
        <v>359</v>
      </c>
      <c r="E11" s="436" t="s">
        <v>360</v>
      </c>
      <c r="F11" s="629"/>
      <c r="G11" s="439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  <c r="L11" s="405"/>
      <c r="M11" s="405"/>
    </row>
    <row r="12" spans="1:13" ht="12" customHeight="1" thickBot="1">
      <c r="A12" s="405"/>
      <c r="B12" s="691" t="s">
        <v>502</v>
      </c>
      <c r="C12" s="596">
        <v>0</v>
      </c>
      <c r="D12" s="1277" t="s">
        <v>540</v>
      </c>
      <c r="E12" s="1278"/>
      <c r="F12" s="1279"/>
      <c r="G12" s="439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  <c r="L12" s="405"/>
      <c r="M12" s="405"/>
    </row>
    <row r="13" spans="1:13" ht="12" customHeight="1">
      <c r="A13" s="405"/>
      <c r="B13" s="407" t="s">
        <v>397</v>
      </c>
      <c r="C13" s="597">
        <v>0</v>
      </c>
      <c r="D13" s="420" t="s">
        <v>287</v>
      </c>
      <c r="E13" s="625" t="s">
        <v>255</v>
      </c>
      <c r="F13" s="1252" t="s">
        <v>597</v>
      </c>
      <c r="G13" s="439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  <c r="L13" s="405"/>
      <c r="M13" s="405"/>
    </row>
    <row r="14" spans="1:13" ht="12" customHeight="1" thickBot="1">
      <c r="A14" s="405"/>
      <c r="B14" s="412" t="s">
        <v>398</v>
      </c>
      <c r="C14" s="598">
        <v>0</v>
      </c>
      <c r="D14" s="427" t="s">
        <v>287</v>
      </c>
      <c r="E14" s="431" t="s">
        <v>255</v>
      </c>
      <c r="F14" s="1253"/>
      <c r="G14" s="439"/>
      <c r="H14" s="413" t="s">
        <v>383</v>
      </c>
      <c r="I14" s="414" t="str">
        <f>IF(AND($C$6=1,$C$7+$C$8+$C$5=0,$C$9=1),"ДА","НЕТ")</f>
        <v>НЕТ</v>
      </c>
      <c r="J14" s="325"/>
      <c r="K14" s="319">
        <f t="shared" si="0"/>
        <v>0</v>
      </c>
      <c r="L14" s="405"/>
      <c r="M14" s="405"/>
    </row>
    <row r="15" spans="1:13" ht="12" customHeight="1">
      <c r="A15" s="405"/>
      <c r="B15" s="407" t="s">
        <v>147</v>
      </c>
      <c r="C15" s="464">
        <v>0</v>
      </c>
      <c r="D15" s="1242" t="s">
        <v>686</v>
      </c>
      <c r="E15" s="1243"/>
      <c r="F15" s="1244"/>
      <c r="G15" s="439"/>
      <c r="H15" s="416" t="s">
        <v>384</v>
      </c>
      <c r="I15" s="414" t="str">
        <f>IF(AND($C$6=1,$C$7+$C$8+$C$5=0,$C$9=1),"ДА","НЕТ")</f>
        <v>НЕТ</v>
      </c>
      <c r="J15" s="325"/>
      <c r="K15" s="319">
        <f t="shared" si="0"/>
        <v>0</v>
      </c>
      <c r="L15" s="405"/>
      <c r="M15" s="405"/>
    </row>
    <row r="16" spans="1:13" ht="12" customHeight="1">
      <c r="A16" s="405"/>
      <c r="B16" s="417" t="s">
        <v>146</v>
      </c>
      <c r="C16" s="461">
        <v>0</v>
      </c>
      <c r="D16" s="1245" t="s">
        <v>687</v>
      </c>
      <c r="E16" s="1246"/>
      <c r="F16" s="1247"/>
      <c r="G16" s="439"/>
      <c r="H16" s="413" t="s">
        <v>388</v>
      </c>
      <c r="I16" s="414" t="str">
        <f>IF(AND($C$6=1,$C$7+$C$8+$C$5=0,$C$9=2),"ДА","НЕТ")</f>
        <v>НЕТ</v>
      </c>
      <c r="J16" s="325"/>
      <c r="K16" s="319">
        <f t="shared" si="0"/>
        <v>0</v>
      </c>
      <c r="L16" s="405"/>
      <c r="M16" s="405"/>
    </row>
    <row r="17" spans="1:13" ht="12" customHeight="1" thickBot="1">
      <c r="A17" s="405"/>
      <c r="B17" s="412" t="s">
        <v>143</v>
      </c>
      <c r="C17" s="463">
        <v>0</v>
      </c>
      <c r="D17" s="1248" t="s">
        <v>688</v>
      </c>
      <c r="E17" s="1249"/>
      <c r="F17" s="1250"/>
      <c r="G17" s="439"/>
      <c r="H17" s="437" t="s">
        <v>389</v>
      </c>
      <c r="I17" s="438" t="str">
        <f>IF(AND($C$6=1,$C$7+$C$8+$C$5=0,$C$9=2),"ДА","НЕТ")</f>
        <v>НЕТ</v>
      </c>
      <c r="J17" s="332"/>
      <c r="K17" s="475">
        <f t="shared" si="0"/>
        <v>0</v>
      </c>
      <c r="L17" s="405"/>
      <c r="M17" s="405"/>
    </row>
    <row r="18" spans="1:13" s="71" customFormat="1" ht="12" customHeight="1" thickBot="1">
      <c r="A18" s="640"/>
      <c r="B18" s="639"/>
      <c r="C18" s="639"/>
      <c r="D18" s="639"/>
      <c r="E18" s="443"/>
      <c r="F18" s="443"/>
      <c r="G18" s="443"/>
      <c r="H18" s="564"/>
      <c r="I18" s="565"/>
      <c r="J18" s="336"/>
      <c r="K18" s="337"/>
      <c r="L18" s="640"/>
      <c r="M18" s="640"/>
    </row>
    <row r="19" spans="1:13" ht="12" customHeight="1" thickBot="1">
      <c r="A19" s="405"/>
      <c r="B19" s="692" t="s">
        <v>5</v>
      </c>
      <c r="C19" s="693" t="s">
        <v>0</v>
      </c>
      <c r="D19" s="694" t="s">
        <v>4</v>
      </c>
      <c r="E19" s="695" t="s">
        <v>8</v>
      </c>
      <c r="F19" s="439"/>
      <c r="G19" s="439"/>
      <c r="H19" s="439"/>
      <c r="I19" s="439"/>
      <c r="J19" s="439"/>
      <c r="K19" s="439"/>
      <c r="L19" s="405"/>
      <c r="M19" s="405"/>
    </row>
    <row r="20" spans="1:13" ht="12" customHeight="1">
      <c r="A20" s="405"/>
      <c r="B20" s="696" t="s">
        <v>401</v>
      </c>
      <c r="C20" s="599">
        <f>C2*C10</f>
        <v>3</v>
      </c>
      <c r="D20" s="592"/>
      <c r="E20" s="600">
        <f>C20*D20</f>
        <v>0</v>
      </c>
      <c r="F20" s="439"/>
      <c r="G20" s="439"/>
      <c r="H20" s="439"/>
      <c r="I20" s="439"/>
      <c r="J20" s="439"/>
      <c r="K20" s="439"/>
      <c r="L20" s="405"/>
      <c r="M20" s="405"/>
    </row>
    <row r="21" spans="1:13" ht="12" customHeight="1">
      <c r="A21" s="405"/>
      <c r="B21" s="451" t="s">
        <v>402</v>
      </c>
      <c r="C21" s="347">
        <f>IF(C14=1,C2*C10,0)</f>
        <v>0</v>
      </c>
      <c r="D21" s="553"/>
      <c r="E21" s="344">
        <f>C21*D21</f>
        <v>0</v>
      </c>
      <c r="F21" s="439"/>
      <c r="G21" s="439"/>
      <c r="H21" s="439"/>
      <c r="I21" s="439"/>
      <c r="J21" s="439"/>
      <c r="K21" s="439"/>
      <c r="L21" s="405"/>
      <c r="M21" s="405"/>
    </row>
    <row r="22" spans="1:13" ht="12" customHeight="1">
      <c r="A22" s="405"/>
      <c r="B22" s="449" t="s">
        <v>399</v>
      </c>
      <c r="C22" s="342">
        <f>IF(AND(C13=1,C14=0),(C4*C10)*2,0)</f>
        <v>0</v>
      </c>
      <c r="D22" s="553"/>
      <c r="E22" s="344">
        <f>C22*D22</f>
        <v>0</v>
      </c>
      <c r="F22" s="439"/>
      <c r="G22" s="439"/>
      <c r="H22" s="439"/>
      <c r="I22" s="439"/>
      <c r="J22" s="697"/>
      <c r="K22" s="439"/>
      <c r="L22" s="405"/>
      <c r="M22" s="405"/>
    </row>
    <row r="23" spans="1:13" ht="12" customHeight="1">
      <c r="A23" s="405"/>
      <c r="B23" s="449" t="s">
        <v>400</v>
      </c>
      <c r="C23" s="342">
        <f>IF(AND(C13=0,C14=1),C4*C10,0)</f>
        <v>0</v>
      </c>
      <c r="D23" s="553"/>
      <c r="E23" s="344">
        <f>C23*D23</f>
        <v>0</v>
      </c>
      <c r="F23" s="439"/>
      <c r="G23" s="439"/>
      <c r="H23" s="439"/>
      <c r="I23" s="439"/>
      <c r="J23" s="439"/>
      <c r="K23" s="439"/>
      <c r="L23" s="405"/>
      <c r="M23" s="405"/>
    </row>
    <row r="24" spans="1:13" ht="12" customHeight="1">
      <c r="A24" s="405"/>
      <c r="B24" s="451" t="s">
        <v>447</v>
      </c>
      <c r="C24" s="347">
        <f>IF(C11=0,C10*2,0)</f>
        <v>2</v>
      </c>
      <c r="D24" s="353"/>
      <c r="E24" s="344">
        <f t="shared" ref="E24:E58" si="1">C24*D24</f>
        <v>0</v>
      </c>
      <c r="F24" s="439"/>
      <c r="G24" s="439"/>
      <c r="H24" s="439"/>
      <c r="I24" s="439"/>
      <c r="J24" s="439"/>
      <c r="K24" s="439"/>
      <c r="L24" s="405"/>
      <c r="M24" s="405"/>
    </row>
    <row r="25" spans="1:13" ht="12" customHeight="1">
      <c r="A25" s="405"/>
      <c r="B25" s="451" t="s">
        <v>503</v>
      </c>
      <c r="C25" s="347">
        <f>IF(C11=0,((C4-1)+C12)*C10,0)</f>
        <v>1</v>
      </c>
      <c r="D25" s="353"/>
      <c r="E25" s="344">
        <f t="shared" si="1"/>
        <v>0</v>
      </c>
      <c r="F25" s="439"/>
      <c r="G25" s="439"/>
      <c r="H25" s="439"/>
      <c r="I25" s="439"/>
      <c r="J25" s="439"/>
      <c r="K25" s="439"/>
      <c r="L25" s="405"/>
      <c r="M25" s="405"/>
    </row>
    <row r="26" spans="1:13" ht="12" customHeight="1">
      <c r="A26" s="405"/>
      <c r="B26" s="451" t="s">
        <v>524</v>
      </c>
      <c r="C26" s="347">
        <f>IF(C11=1,C10*2,0)</f>
        <v>0</v>
      </c>
      <c r="D26" s="353"/>
      <c r="E26" s="344">
        <f>C26*D26</f>
        <v>0</v>
      </c>
      <c r="F26" s="439"/>
      <c r="G26" s="439"/>
      <c r="H26" s="439"/>
      <c r="I26" s="439"/>
      <c r="J26" s="439"/>
      <c r="K26" s="439"/>
      <c r="L26" s="405"/>
      <c r="M26" s="405"/>
    </row>
    <row r="27" spans="1:13" ht="12" customHeight="1">
      <c r="A27" s="405"/>
      <c r="B27" s="451" t="s">
        <v>542</v>
      </c>
      <c r="C27" s="347">
        <f>IF(C11=1,((C4-1)+C12)*C10,0)</f>
        <v>0</v>
      </c>
      <c r="D27" s="353"/>
      <c r="E27" s="344">
        <f>C27*D27</f>
        <v>0</v>
      </c>
      <c r="F27" s="439"/>
      <c r="G27" s="439"/>
      <c r="H27" s="439"/>
      <c r="I27" s="439"/>
      <c r="J27" s="439"/>
      <c r="K27" s="439"/>
      <c r="L27" s="405"/>
      <c r="M27" s="405"/>
    </row>
    <row r="28" spans="1:13" ht="12" customHeight="1">
      <c r="A28" s="405"/>
      <c r="B28" s="451" t="s">
        <v>609</v>
      </c>
      <c r="C28" s="347">
        <f>IF(C11=0,C10*2,0)</f>
        <v>2</v>
      </c>
      <c r="D28" s="353"/>
      <c r="E28" s="344">
        <f t="shared" si="1"/>
        <v>0</v>
      </c>
      <c r="F28" s="439"/>
      <c r="G28" s="439"/>
      <c r="H28" s="439"/>
      <c r="I28" s="439"/>
      <c r="J28" s="439"/>
      <c r="K28" s="439"/>
      <c r="L28" s="405"/>
      <c r="M28" s="405"/>
    </row>
    <row r="29" spans="1:13" ht="12" customHeight="1">
      <c r="A29" s="405"/>
      <c r="B29" s="451" t="s">
        <v>614</v>
      </c>
      <c r="C29" s="347">
        <f>IF(C11=1,C10*2,0)</f>
        <v>0</v>
      </c>
      <c r="D29" s="353"/>
      <c r="E29" s="344">
        <f>C29*D29</f>
        <v>0</v>
      </c>
      <c r="F29" s="439"/>
      <c r="G29" s="439"/>
      <c r="H29" s="439"/>
      <c r="I29" s="439"/>
      <c r="J29" s="439"/>
      <c r="K29" s="439"/>
      <c r="L29" s="405"/>
      <c r="M29" s="405"/>
    </row>
    <row r="30" spans="1:13" ht="12" customHeight="1">
      <c r="A30" s="405"/>
      <c r="B30" s="449" t="s">
        <v>474</v>
      </c>
      <c r="C30" s="342">
        <f>C2*C10*(C5+C7)</f>
        <v>0</v>
      </c>
      <c r="D30" s="396"/>
      <c r="E30" s="344">
        <f t="shared" si="1"/>
        <v>0</v>
      </c>
      <c r="F30" s="439"/>
      <c r="G30" s="439"/>
      <c r="H30" s="439"/>
      <c r="I30" s="439"/>
      <c r="J30" s="439"/>
      <c r="K30" s="439"/>
      <c r="L30" s="405"/>
      <c r="M30" s="405"/>
    </row>
    <row r="31" spans="1:13" ht="12" customHeight="1">
      <c r="A31" s="405"/>
      <c r="B31" s="451" t="s">
        <v>480</v>
      </c>
      <c r="C31" s="347">
        <f>C2*C10*(C6+C8)</f>
        <v>3</v>
      </c>
      <c r="D31" s="353"/>
      <c r="E31" s="344">
        <f t="shared" si="1"/>
        <v>0</v>
      </c>
      <c r="F31" s="439"/>
      <c r="G31" s="439"/>
      <c r="H31" s="439"/>
      <c r="I31" s="439"/>
      <c r="J31" s="439"/>
      <c r="K31" s="439"/>
      <c r="L31" s="405"/>
      <c r="M31" s="405"/>
    </row>
    <row r="32" spans="1:13" ht="12" customHeight="1">
      <c r="A32" s="405"/>
      <c r="B32" s="451" t="s">
        <v>477</v>
      </c>
      <c r="C32" s="347">
        <f>C2*C10</f>
        <v>3</v>
      </c>
      <c r="D32" s="553"/>
      <c r="E32" s="552">
        <f t="shared" si="1"/>
        <v>0</v>
      </c>
      <c r="F32" s="439"/>
      <c r="G32" s="439"/>
      <c r="H32" s="439"/>
      <c r="I32" s="439"/>
      <c r="J32" s="439"/>
      <c r="K32" s="439"/>
      <c r="L32" s="405"/>
      <c r="M32" s="405"/>
    </row>
    <row r="33" spans="1:13" ht="12" customHeight="1">
      <c r="A33" s="405"/>
      <c r="B33" s="449" t="s">
        <v>451</v>
      </c>
      <c r="C33" s="342">
        <f>C2*C10*(C5+C7)</f>
        <v>0</v>
      </c>
      <c r="D33" s="396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  <c r="M33" s="405"/>
    </row>
    <row r="34" spans="1:13" ht="12" customHeight="1">
      <c r="A34" s="405"/>
      <c r="B34" s="449" t="s">
        <v>450</v>
      </c>
      <c r="C34" s="342">
        <f>C2*C10*(C6+C8)</f>
        <v>3</v>
      </c>
      <c r="D34" s="396"/>
      <c r="E34" s="344">
        <f>C34*D34</f>
        <v>0</v>
      </c>
      <c r="F34" s="439"/>
      <c r="G34" s="439"/>
      <c r="H34" s="439"/>
      <c r="I34" s="439"/>
      <c r="J34" s="439"/>
      <c r="K34" s="439"/>
      <c r="L34" s="405"/>
      <c r="M34" s="405"/>
    </row>
    <row r="35" spans="1:13" ht="12" customHeight="1">
      <c r="A35" s="405"/>
      <c r="B35" s="451" t="s">
        <v>367</v>
      </c>
      <c r="C35" s="347">
        <f>C10*(C5+C7)</f>
        <v>0</v>
      </c>
      <c r="D35" s="353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  <c r="M35" s="405"/>
    </row>
    <row r="36" spans="1:13" ht="12" customHeight="1">
      <c r="A36" s="405"/>
      <c r="B36" s="451" t="s">
        <v>728</v>
      </c>
      <c r="C36" s="347">
        <f>C10*(C6+C8)</f>
        <v>1</v>
      </c>
      <c r="D36" s="353"/>
      <c r="E36" s="344">
        <f t="shared" si="1"/>
        <v>0</v>
      </c>
      <c r="F36" s="439"/>
      <c r="G36" s="439"/>
      <c r="H36" s="439"/>
      <c r="I36" s="439"/>
      <c r="J36" s="439"/>
      <c r="K36" s="439"/>
      <c r="L36" s="405"/>
      <c r="M36" s="405"/>
    </row>
    <row r="37" spans="1:13" ht="12" customHeight="1">
      <c r="A37" s="405"/>
      <c r="B37" s="451" t="s">
        <v>727</v>
      </c>
      <c r="C37" s="347">
        <f>C10*(C4*2-2)*(C6+C8)</f>
        <v>2</v>
      </c>
      <c r="D37" s="353"/>
      <c r="E37" s="569">
        <f>C37*D37</f>
        <v>0</v>
      </c>
      <c r="F37" s="439"/>
      <c r="G37" s="439"/>
      <c r="H37" s="439"/>
      <c r="I37" s="439"/>
      <c r="J37" s="439"/>
      <c r="K37" s="439"/>
      <c r="L37" s="405"/>
      <c r="M37" s="405"/>
    </row>
    <row r="38" spans="1:13" ht="12" customHeight="1">
      <c r="A38" s="405"/>
      <c r="B38" s="451" t="s">
        <v>504</v>
      </c>
      <c r="C38" s="347">
        <f>(C4-1)*C10</f>
        <v>1</v>
      </c>
      <c r="D38" s="353"/>
      <c r="E38" s="344">
        <f t="shared" si="1"/>
        <v>0</v>
      </c>
      <c r="F38" s="439"/>
      <c r="G38" s="439"/>
      <c r="H38" s="439"/>
      <c r="I38" s="439"/>
      <c r="J38" s="439"/>
      <c r="K38" s="439"/>
      <c r="L38" s="405"/>
      <c r="M38" s="405"/>
    </row>
    <row r="39" spans="1:13" ht="12" customHeight="1">
      <c r="A39" s="405"/>
      <c r="B39" s="451" t="s">
        <v>505</v>
      </c>
      <c r="C39" s="347">
        <f>(C4-1)*C10</f>
        <v>1</v>
      </c>
      <c r="D39" s="353"/>
      <c r="E39" s="344">
        <f t="shared" si="1"/>
        <v>0</v>
      </c>
      <c r="F39" s="439"/>
      <c r="G39" s="439"/>
      <c r="H39" s="439"/>
      <c r="I39" s="439"/>
      <c r="J39" s="439"/>
      <c r="K39" s="439"/>
      <c r="L39" s="405"/>
      <c r="M39" s="405"/>
    </row>
    <row r="40" spans="1:13" ht="12" customHeight="1">
      <c r="A40" s="405"/>
      <c r="B40" s="451" t="s">
        <v>828</v>
      </c>
      <c r="C40" s="347">
        <f>C10</f>
        <v>1</v>
      </c>
      <c r="D40" s="353"/>
      <c r="E40" s="344">
        <f t="shared" si="1"/>
        <v>0</v>
      </c>
      <c r="F40" s="439"/>
      <c r="G40" s="439"/>
      <c r="H40" s="439"/>
      <c r="I40" s="439"/>
      <c r="J40" s="439"/>
      <c r="K40" s="439"/>
      <c r="L40" s="405"/>
      <c r="M40" s="405"/>
    </row>
    <row r="41" spans="1:13" ht="12" customHeight="1">
      <c r="A41" s="405"/>
      <c r="B41" s="452" t="s">
        <v>506</v>
      </c>
      <c r="C41" s="399">
        <f>(C4-1+C12)*C10</f>
        <v>1</v>
      </c>
      <c r="D41" s="353"/>
      <c r="E41" s="400">
        <f t="shared" si="1"/>
        <v>0</v>
      </c>
      <c r="F41" s="439"/>
      <c r="G41" s="439"/>
      <c r="H41" s="439"/>
      <c r="I41" s="439"/>
      <c r="J41" s="439"/>
      <c r="K41" s="439"/>
      <c r="L41" s="405"/>
      <c r="M41" s="405"/>
    </row>
    <row r="42" spans="1:13" ht="12" customHeight="1">
      <c r="A42" s="405"/>
      <c r="B42" s="451" t="s">
        <v>368</v>
      </c>
      <c r="C42" s="347">
        <f>(C24+C25+C26+C27)*2</f>
        <v>6</v>
      </c>
      <c r="D42" s="553"/>
      <c r="E42" s="569">
        <f t="shared" si="1"/>
        <v>0</v>
      </c>
      <c r="F42" s="698"/>
      <c r="G42" s="439"/>
      <c r="H42" s="439"/>
      <c r="I42" s="439"/>
      <c r="J42" s="439"/>
      <c r="K42" s="439"/>
      <c r="L42" s="405"/>
      <c r="M42" s="405"/>
    </row>
    <row r="43" spans="1:13" ht="12" customHeight="1">
      <c r="A43" s="405"/>
      <c r="B43" s="449" t="s">
        <v>617</v>
      </c>
      <c r="C43" s="342">
        <f>C2*C10</f>
        <v>3</v>
      </c>
      <c r="D43" s="396"/>
      <c r="E43" s="344">
        <f t="shared" si="1"/>
        <v>0</v>
      </c>
      <c r="F43" s="439"/>
      <c r="G43" s="439"/>
      <c r="H43" s="439"/>
      <c r="I43" s="439"/>
      <c r="J43" s="439"/>
      <c r="K43" s="439"/>
      <c r="L43" s="405"/>
      <c r="M43" s="405"/>
    </row>
    <row r="44" spans="1:13" ht="12" customHeight="1">
      <c r="A44" s="405"/>
      <c r="B44" s="452" t="s">
        <v>507</v>
      </c>
      <c r="C44" s="399">
        <f>(C4-1+C12)*C10</f>
        <v>1</v>
      </c>
      <c r="D44" s="353"/>
      <c r="E44" s="400">
        <f t="shared" si="1"/>
        <v>0</v>
      </c>
      <c r="F44" s="439"/>
      <c r="G44" s="439"/>
      <c r="H44" s="439"/>
      <c r="I44" s="439"/>
      <c r="J44" s="439"/>
      <c r="K44" s="439"/>
      <c r="L44" s="405"/>
      <c r="M44" s="405"/>
    </row>
    <row r="45" spans="1:13" ht="12" customHeight="1">
      <c r="A45" s="405"/>
      <c r="B45" s="452" t="s">
        <v>508</v>
      </c>
      <c r="C45" s="399">
        <f>C12*C10</f>
        <v>0</v>
      </c>
      <c r="D45" s="353"/>
      <c r="E45" s="400">
        <f t="shared" si="1"/>
        <v>0</v>
      </c>
      <c r="F45" s="699"/>
      <c r="G45" s="439"/>
      <c r="H45" s="439"/>
      <c r="I45" s="439"/>
      <c r="J45" s="439"/>
      <c r="K45" s="439"/>
      <c r="L45" s="405"/>
      <c r="M45" s="405"/>
    </row>
    <row r="46" spans="1:13" ht="12" customHeight="1">
      <c r="A46" s="405"/>
      <c r="B46" s="451" t="s">
        <v>479</v>
      </c>
      <c r="C46" s="347">
        <f>EVEN(ROUNDDOWN(IF(C4&gt;0,(C2/0.5)*C10,0),0))</f>
        <v>6</v>
      </c>
      <c r="D46" s="348"/>
      <c r="E46" s="344">
        <f t="shared" si="1"/>
        <v>0</v>
      </c>
      <c r="F46" s="439"/>
      <c r="G46" s="439"/>
      <c r="H46" s="439"/>
      <c r="I46" s="439"/>
      <c r="J46" s="439"/>
      <c r="K46" s="439"/>
      <c r="L46" s="405"/>
      <c r="M46" s="405"/>
    </row>
    <row r="47" spans="1:13" ht="12" customHeight="1">
      <c r="A47" s="405"/>
      <c r="B47" s="452" t="s">
        <v>378</v>
      </c>
      <c r="C47" s="399">
        <f>C10*C8</f>
        <v>0</v>
      </c>
      <c r="D47" s="353"/>
      <c r="E47" s="400">
        <f t="shared" si="1"/>
        <v>0</v>
      </c>
      <c r="F47" s="439"/>
      <c r="G47" s="439"/>
      <c r="H47" s="439"/>
      <c r="I47" s="439"/>
      <c r="J47" s="439"/>
      <c r="K47" s="439"/>
      <c r="L47" s="405"/>
      <c r="M47" s="405"/>
    </row>
    <row r="48" spans="1:13" ht="12" customHeight="1">
      <c r="A48" s="405"/>
      <c r="B48" s="452" t="s">
        <v>386</v>
      </c>
      <c r="C48" s="399">
        <f>C10*C6</f>
        <v>1</v>
      </c>
      <c r="D48" s="353"/>
      <c r="E48" s="400">
        <f t="shared" si="1"/>
        <v>0</v>
      </c>
      <c r="F48" s="439"/>
      <c r="G48" s="439"/>
      <c r="H48" s="439"/>
      <c r="I48" s="439"/>
      <c r="J48" s="439"/>
      <c r="K48" s="439"/>
      <c r="L48" s="405"/>
      <c r="M48" s="405"/>
    </row>
    <row r="49" spans="1:13" ht="12" customHeight="1">
      <c r="A49" s="405"/>
      <c r="B49" s="452" t="s">
        <v>387</v>
      </c>
      <c r="C49" s="399">
        <f>C10*C6</f>
        <v>1</v>
      </c>
      <c r="D49" s="353"/>
      <c r="E49" s="400">
        <f t="shared" si="1"/>
        <v>0</v>
      </c>
      <c r="F49" s="439"/>
      <c r="G49" s="439"/>
      <c r="H49" s="439"/>
      <c r="I49" s="439"/>
      <c r="J49" s="439"/>
      <c r="K49" s="439"/>
      <c r="L49" s="405"/>
      <c r="M49" s="405"/>
    </row>
    <row r="50" spans="1:13" ht="12" customHeight="1">
      <c r="A50" s="405"/>
      <c r="B50" s="452" t="s">
        <v>377</v>
      </c>
      <c r="C50" s="399">
        <f>C10*C8</f>
        <v>0</v>
      </c>
      <c r="D50" s="353"/>
      <c r="E50" s="400">
        <f t="shared" si="1"/>
        <v>0</v>
      </c>
      <c r="F50" s="439"/>
      <c r="G50" s="439"/>
      <c r="H50" s="439"/>
      <c r="I50" s="439"/>
      <c r="J50" s="439"/>
      <c r="K50" s="439"/>
      <c r="L50" s="405"/>
      <c r="M50" s="405"/>
    </row>
    <row r="51" spans="1:13" ht="12" customHeight="1">
      <c r="A51" s="405"/>
      <c r="B51" s="452" t="s">
        <v>454</v>
      </c>
      <c r="C51" s="399">
        <f>(C5+C7)*C10</f>
        <v>0</v>
      </c>
      <c r="D51" s="353"/>
      <c r="E51" s="400">
        <f t="shared" si="1"/>
        <v>0</v>
      </c>
      <c r="F51" s="439"/>
      <c r="G51" s="439"/>
      <c r="H51" s="439"/>
      <c r="I51" s="439"/>
      <c r="J51" s="439"/>
      <c r="K51" s="439"/>
      <c r="L51" s="405"/>
      <c r="M51" s="405"/>
    </row>
    <row r="52" spans="1:13" ht="12" customHeight="1">
      <c r="A52" s="405"/>
      <c r="B52" s="452" t="s">
        <v>375</v>
      </c>
      <c r="C52" s="399">
        <f>C7*C10</f>
        <v>0</v>
      </c>
      <c r="D52" s="353"/>
      <c r="E52" s="400">
        <f t="shared" si="1"/>
        <v>0</v>
      </c>
      <c r="F52" s="439"/>
      <c r="G52" s="439"/>
      <c r="H52" s="439"/>
      <c r="I52" s="439"/>
      <c r="J52" s="439"/>
      <c r="K52" s="439"/>
      <c r="L52" s="405"/>
      <c r="M52" s="405"/>
    </row>
    <row r="53" spans="1:13" ht="12" customHeight="1">
      <c r="A53" s="405"/>
      <c r="B53" s="452" t="s">
        <v>495</v>
      </c>
      <c r="C53" s="399">
        <f>C7*C10</f>
        <v>0</v>
      </c>
      <c r="D53" s="353"/>
      <c r="E53" s="400">
        <f t="shared" si="1"/>
        <v>0</v>
      </c>
      <c r="F53" s="649"/>
      <c r="G53" s="439"/>
      <c r="H53" s="439"/>
      <c r="I53" s="439"/>
      <c r="J53" s="439"/>
      <c r="K53" s="439"/>
      <c r="L53" s="405"/>
      <c r="M53" s="405"/>
    </row>
    <row r="54" spans="1:13" ht="12" customHeight="1">
      <c r="A54" s="405"/>
      <c r="B54" s="452" t="s">
        <v>380</v>
      </c>
      <c r="C54" s="399">
        <f>C5*C10</f>
        <v>0</v>
      </c>
      <c r="D54" s="353"/>
      <c r="E54" s="400">
        <f t="shared" si="1"/>
        <v>0</v>
      </c>
      <c r="F54" s="650"/>
      <c r="G54" s="439"/>
      <c r="H54" s="439"/>
      <c r="I54" s="439"/>
      <c r="J54" s="439"/>
      <c r="K54" s="439"/>
      <c r="L54" s="405"/>
      <c r="M54" s="405"/>
    </row>
    <row r="55" spans="1:13" ht="12" customHeight="1">
      <c r="A55" s="405"/>
      <c r="B55" s="525" t="s">
        <v>145</v>
      </c>
      <c r="C55" s="506">
        <f>C16</f>
        <v>0</v>
      </c>
      <c r="D55" s="522"/>
      <c r="E55" s="400">
        <f t="shared" si="1"/>
        <v>0</v>
      </c>
      <c r="F55" s="650"/>
      <c r="G55" s="439"/>
      <c r="H55" s="439"/>
      <c r="I55" s="439"/>
      <c r="J55" s="439"/>
      <c r="K55" s="439"/>
      <c r="L55" s="405"/>
      <c r="M55" s="405"/>
    </row>
    <row r="56" spans="1:13" ht="12" customHeight="1">
      <c r="A56" s="405"/>
      <c r="B56" s="525" t="s">
        <v>148</v>
      </c>
      <c r="C56" s="506">
        <f>C15</f>
        <v>0</v>
      </c>
      <c r="D56" s="522"/>
      <c r="E56" s="400">
        <f t="shared" si="1"/>
        <v>0</v>
      </c>
      <c r="F56" s="650"/>
      <c r="G56" s="439"/>
      <c r="H56" s="439"/>
      <c r="I56" s="439"/>
      <c r="J56" s="439"/>
      <c r="K56" s="439"/>
      <c r="L56" s="405"/>
      <c r="M56" s="405"/>
    </row>
    <row r="57" spans="1:13" ht="12" customHeight="1">
      <c r="A57" s="405"/>
      <c r="B57" s="525" t="s">
        <v>689</v>
      </c>
      <c r="C57" s="506">
        <f>C17</f>
        <v>0</v>
      </c>
      <c r="D57" s="522"/>
      <c r="E57" s="400">
        <f t="shared" si="1"/>
        <v>0</v>
      </c>
      <c r="F57" s="650"/>
      <c r="G57" s="439"/>
      <c r="H57" s="439"/>
      <c r="I57" s="439"/>
      <c r="J57" s="439"/>
      <c r="K57" s="439"/>
      <c r="L57" s="405"/>
      <c r="M57" s="405"/>
    </row>
    <row r="58" spans="1:13" ht="12" customHeight="1" thickBot="1">
      <c r="A58" s="405"/>
      <c r="B58" s="454" t="s">
        <v>829</v>
      </c>
      <c r="C58" s="402">
        <f>C5*C10</f>
        <v>0</v>
      </c>
      <c r="D58" s="473"/>
      <c r="E58" s="404">
        <f t="shared" si="1"/>
        <v>0</v>
      </c>
      <c r="F58" s="650"/>
      <c r="G58" s="439"/>
      <c r="H58" s="439"/>
      <c r="I58" s="439"/>
      <c r="J58" s="439"/>
      <c r="K58" s="439"/>
      <c r="L58" s="405"/>
      <c r="M58" s="405"/>
    </row>
    <row r="59" spans="1:13" ht="12" customHeight="1" thickBot="1">
      <c r="A59" s="405"/>
      <c r="B59" s="439"/>
      <c r="C59" s="439"/>
      <c r="D59" s="455" t="s">
        <v>9</v>
      </c>
      <c r="E59" s="527">
        <f>SUMIF(E20:E58,"&gt;0",E20:E58)</f>
        <v>0</v>
      </c>
      <c r="F59" s="650"/>
      <c r="G59" s="439"/>
      <c r="H59" s="439"/>
      <c r="I59" s="439"/>
      <c r="J59" s="439"/>
      <c r="K59" s="439"/>
      <c r="L59" s="405"/>
      <c r="M59" s="405"/>
    </row>
    <row r="60" spans="1:13" ht="11.25" customHeight="1">
      <c r="A60" s="405"/>
      <c r="B60" s="439"/>
      <c r="C60" s="439"/>
      <c r="D60" s="439"/>
      <c r="E60" s="439"/>
      <c r="F60" s="651"/>
      <c r="G60" s="439"/>
      <c r="H60" s="439"/>
      <c r="I60" s="439"/>
      <c r="J60" s="439"/>
      <c r="K60" s="439"/>
      <c r="L60" s="405"/>
      <c r="M60" s="405"/>
    </row>
    <row r="61" spans="1:13">
      <c r="A61" s="405"/>
      <c r="B61" s="439"/>
      <c r="C61" s="439"/>
      <c r="D61" s="439"/>
      <c r="E61" s="439"/>
      <c r="F61" s="651"/>
      <c r="G61" s="439"/>
      <c r="H61" s="439"/>
      <c r="I61" s="439"/>
      <c r="J61" s="439"/>
      <c r="K61" s="439"/>
      <c r="L61" s="405"/>
      <c r="M61" s="405"/>
    </row>
    <row r="62" spans="1:13">
      <c r="A62" s="405"/>
      <c r="B62" s="439"/>
      <c r="C62" s="439"/>
      <c r="D62" s="439"/>
      <c r="E62" s="439"/>
      <c r="F62" s="439"/>
      <c r="G62" s="439"/>
      <c r="H62" s="439"/>
      <c r="I62" s="439"/>
      <c r="J62" s="439"/>
      <c r="K62" s="439"/>
      <c r="L62" s="405"/>
      <c r="M62" s="405"/>
    </row>
    <row r="63" spans="1:13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  <c r="M63" s="405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391" priority="33" operator="greaterThan">
      <formula>0</formula>
    </cfRule>
  </conditionalFormatting>
  <conditionalFormatting sqref="C9">
    <cfRule type="cellIs" dxfId="390" priority="29" operator="greaterThan">
      <formula>0</formula>
    </cfRule>
  </conditionalFormatting>
  <conditionalFormatting sqref="C9">
    <cfRule type="cellIs" dxfId="389" priority="32" operator="greaterThan">
      <formula>0</formula>
    </cfRule>
  </conditionalFormatting>
  <conditionalFormatting sqref="C9">
    <cfRule type="cellIs" dxfId="388" priority="31" operator="greaterThan">
      <formula>0</formula>
    </cfRule>
  </conditionalFormatting>
  <conditionalFormatting sqref="C9">
    <cfRule type="cellIs" dxfId="387" priority="30" operator="greaterThan">
      <formula>0</formula>
    </cfRule>
  </conditionalFormatting>
  <conditionalFormatting sqref="C37:E37">
    <cfRule type="cellIs" dxfId="386" priority="22" operator="greaterThan">
      <formula>0</formula>
    </cfRule>
    <cfRule type="cellIs" dxfId="385" priority="23" operator="greaterThan">
      <formula>0</formula>
    </cfRule>
    <cfRule type="cellIs" dxfId="384" priority="24" operator="greaterThan">
      <formula>0</formula>
    </cfRule>
  </conditionalFormatting>
  <conditionalFormatting sqref="C31:E31">
    <cfRule type="cellIs" dxfId="383" priority="20" operator="greaterThan">
      <formula>0</formula>
    </cfRule>
  </conditionalFormatting>
  <conditionalFormatting sqref="C43:E43">
    <cfRule type="cellIs" dxfId="382" priority="19" operator="greaterThan">
      <formula>0</formula>
    </cfRule>
  </conditionalFormatting>
  <conditionalFormatting sqref="C31:E31">
    <cfRule type="cellIs" dxfId="381" priority="21" operator="greaterThan">
      <formula>0</formula>
    </cfRule>
  </conditionalFormatting>
  <conditionalFormatting sqref="C47:E50">
    <cfRule type="cellIs" dxfId="380" priority="12" operator="greaterThan">
      <formula>0</formula>
    </cfRule>
  </conditionalFormatting>
  <conditionalFormatting sqref="C48:E49">
    <cfRule type="cellIs" dxfId="379" priority="17" operator="greaterThan">
      <formula>0</formula>
    </cfRule>
  </conditionalFormatting>
  <conditionalFormatting sqref="C47:E47">
    <cfRule type="cellIs" dxfId="378" priority="18" operator="greaterThan">
      <formula>0</formula>
    </cfRule>
  </conditionalFormatting>
  <conditionalFormatting sqref="C50:E50">
    <cfRule type="cellIs" dxfId="377" priority="16" operator="greaterThan">
      <formula>0</formula>
    </cfRule>
  </conditionalFormatting>
  <conditionalFormatting sqref="C47:E50">
    <cfRule type="cellIs" dxfId="376" priority="13" operator="greaterThan">
      <formula>0</formula>
    </cfRule>
    <cfRule type="cellIs" dxfId="375" priority="14" operator="greaterThan">
      <formula>0</formula>
    </cfRule>
    <cfRule type="cellIs" dxfId="374" priority="15" operator="greaterThan">
      <formula>0</formula>
    </cfRule>
  </conditionalFormatting>
  <conditionalFormatting sqref="J3:K18">
    <cfRule type="cellIs" dxfId="373" priority="4" operator="greaterThan">
      <formula>0</formula>
    </cfRule>
    <cfRule type="cellIs" dxfId="372" priority="7" operator="greaterThan">
      <formula>0</formula>
    </cfRule>
    <cfRule type="cellIs" dxfId="371" priority="8" operator="greaterThan">
      <formula>0</formula>
    </cfRule>
  </conditionalFormatting>
  <conditionalFormatting sqref="I3:I18">
    <cfRule type="cellIs" dxfId="370" priority="9" operator="equal">
      <formula>"НЕТ"</formula>
    </cfRule>
    <cfRule type="cellIs" dxfId="369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368" priority="6" operator="greaterThan">
      <formula>0</formula>
    </cfRule>
  </conditionalFormatting>
  <conditionalFormatting sqref="C2:C14">
    <cfRule type="cellIs" dxfId="367" priority="5" operator="greaterThan">
      <formula>0</formula>
    </cfRule>
  </conditionalFormatting>
  <conditionalFormatting sqref="E59">
    <cfRule type="cellIs" dxfId="366" priority="3" operator="greaterThan">
      <formula>0</formula>
    </cfRule>
  </conditionalFormatting>
  <conditionalFormatting sqref="C15:C17">
    <cfRule type="cellIs" dxfId="365" priority="2" operator="greaterThan">
      <formula>0</formula>
    </cfRule>
  </conditionalFormatting>
  <conditionalFormatting sqref="C55:E57">
    <cfRule type="cellIs" dxfId="364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05"/>
      <c r="B1" s="1286"/>
      <c r="C1" s="1287"/>
      <c r="D1" s="1287"/>
      <c r="E1" s="1287"/>
      <c r="F1" s="405"/>
      <c r="G1" s="405"/>
      <c r="H1" s="405"/>
      <c r="I1" s="405"/>
      <c r="J1" s="405"/>
      <c r="K1" s="405"/>
      <c r="L1" s="405"/>
      <c r="M1" s="405"/>
    </row>
    <row r="2" spans="1:13" ht="12" customHeight="1" thickBot="1">
      <c r="A2" s="405"/>
      <c r="B2" s="407" t="s">
        <v>666</v>
      </c>
      <c r="C2" s="606">
        <v>0</v>
      </c>
      <c r="D2" s="1231" t="s">
        <v>595</v>
      </c>
      <c r="E2" s="1232"/>
      <c r="F2" s="1233"/>
      <c r="G2" s="439"/>
      <c r="H2" s="409" t="s">
        <v>485</v>
      </c>
      <c r="I2" s="410" t="s">
        <v>604</v>
      </c>
      <c r="J2" s="476" t="s">
        <v>4</v>
      </c>
      <c r="K2" s="477" t="s">
        <v>8</v>
      </c>
      <c r="L2" s="405"/>
      <c r="M2" s="405"/>
    </row>
    <row r="3" spans="1:13" ht="12" customHeight="1" thickBot="1">
      <c r="A3" s="405"/>
      <c r="B3" s="412" t="s">
        <v>667</v>
      </c>
      <c r="C3" s="590">
        <v>0</v>
      </c>
      <c r="D3" s="1234"/>
      <c r="E3" s="1235"/>
      <c r="F3" s="1236"/>
      <c r="G3" s="439"/>
      <c r="H3" s="413" t="s">
        <v>372</v>
      </c>
      <c r="I3" s="414" t="str">
        <f>IF(AND($C$7=1,$C$5+$C$6+$C$8=0,$C$9=2),"ДА","НЕТ")</f>
        <v>НЕТ</v>
      </c>
      <c r="J3" s="318"/>
      <c r="K3" s="319">
        <f>IF(I3="ДА",$C$10*J3,0)</f>
        <v>0</v>
      </c>
      <c r="L3" s="405"/>
      <c r="M3" s="405"/>
    </row>
    <row r="4" spans="1:13" ht="12" customHeight="1" thickBot="1">
      <c r="A4" s="405"/>
      <c r="B4" s="429" t="s">
        <v>127</v>
      </c>
      <c r="C4" s="594">
        <v>0</v>
      </c>
      <c r="D4" s="1277" t="s">
        <v>128</v>
      </c>
      <c r="E4" s="1278"/>
      <c r="F4" s="1279"/>
      <c r="G4" s="439"/>
      <c r="H4" s="416" t="s">
        <v>373</v>
      </c>
      <c r="I4" s="414" t="str">
        <f>IF(AND($C$7=1,$C$5+$C$6+$C$8=0,$C$9=2),"ДА","НЕТ")</f>
        <v>НЕТ</v>
      </c>
      <c r="J4" s="395"/>
      <c r="K4" s="319">
        <f t="shared" ref="K4:K17" si="0">IF(I4="ДА",$C$10*J4,0)</f>
        <v>0</v>
      </c>
      <c r="L4" s="405"/>
      <c r="M4" s="405"/>
    </row>
    <row r="5" spans="1:13" ht="12" customHeight="1">
      <c r="A5" s="405"/>
      <c r="B5" s="419" t="s">
        <v>492</v>
      </c>
      <c r="C5" s="603">
        <v>0</v>
      </c>
      <c r="D5" s="422" t="s">
        <v>287</v>
      </c>
      <c r="E5" s="690" t="s">
        <v>255</v>
      </c>
      <c r="F5" s="1240" t="s">
        <v>597</v>
      </c>
      <c r="G5" s="439"/>
      <c r="H5" s="416" t="s">
        <v>374</v>
      </c>
      <c r="I5" s="414" t="str">
        <f>IF(AND($C$7=1,$C$5+$C$6+$C$8=0,$C$9=2),"ДА","НЕТ")</f>
        <v>НЕТ</v>
      </c>
      <c r="J5" s="395"/>
      <c r="K5" s="319">
        <f t="shared" si="0"/>
        <v>0</v>
      </c>
      <c r="L5" s="405"/>
      <c r="M5" s="405"/>
    </row>
    <row r="6" spans="1:13" ht="12" customHeight="1">
      <c r="A6" s="405"/>
      <c r="B6" s="417" t="s">
        <v>493</v>
      </c>
      <c r="C6" s="602">
        <v>0</v>
      </c>
      <c r="D6" s="424" t="s">
        <v>287</v>
      </c>
      <c r="E6" s="644" t="s">
        <v>255</v>
      </c>
      <c r="F6" s="1240"/>
      <c r="G6" s="439"/>
      <c r="H6" s="418" t="s">
        <v>376</v>
      </c>
      <c r="I6" s="414" t="str">
        <f>IF(AND($C$7=1,$C$5+$C$6+$C$8=0,$C$9=3),"ДА","НЕТ")</f>
        <v>НЕТ</v>
      </c>
      <c r="J6" s="322"/>
      <c r="K6" s="319">
        <f t="shared" si="0"/>
        <v>0</v>
      </c>
      <c r="L6" s="405"/>
      <c r="M6" s="405"/>
    </row>
    <row r="7" spans="1:13" ht="12" customHeight="1">
      <c r="A7" s="405"/>
      <c r="B7" s="417" t="s">
        <v>490</v>
      </c>
      <c r="C7" s="602">
        <v>0</v>
      </c>
      <c r="D7" s="424" t="s">
        <v>287</v>
      </c>
      <c r="E7" s="644" t="s">
        <v>255</v>
      </c>
      <c r="F7" s="1240"/>
      <c r="G7" s="439"/>
      <c r="H7" s="416" t="s">
        <v>489</v>
      </c>
      <c r="I7" s="414" t="str">
        <f>IF(AND($C$8=1,$C$5+$C$6+$C$7=0,$C$9=1),"ДА","НЕТ")</f>
        <v>НЕТ</v>
      </c>
      <c r="J7" s="395"/>
      <c r="K7" s="319">
        <f t="shared" si="0"/>
        <v>0</v>
      </c>
      <c r="L7" s="405"/>
      <c r="M7" s="405"/>
    </row>
    <row r="8" spans="1:13" ht="12" customHeight="1" thickBot="1">
      <c r="A8" s="405"/>
      <c r="B8" s="440" t="s">
        <v>491</v>
      </c>
      <c r="C8" s="601">
        <v>0</v>
      </c>
      <c r="D8" s="427" t="s">
        <v>287</v>
      </c>
      <c r="E8" s="431" t="s">
        <v>255</v>
      </c>
      <c r="F8" s="1241"/>
      <c r="G8" s="439"/>
      <c r="H8" s="418" t="s">
        <v>486</v>
      </c>
      <c r="I8" s="414" t="str">
        <f>IF(AND($C$8=1,$C$5+$C$6+$C$7=0,$C$9=3),"ДА","НЕТ")</f>
        <v>НЕТ</v>
      </c>
      <c r="J8" s="322"/>
      <c r="K8" s="319">
        <f t="shared" si="0"/>
        <v>0</v>
      </c>
      <c r="L8" s="405"/>
      <c r="M8" s="405"/>
    </row>
    <row r="9" spans="1:13" ht="12" customHeight="1" thickBot="1">
      <c r="A9" s="405"/>
      <c r="B9" s="429" t="s">
        <v>589</v>
      </c>
      <c r="C9" s="593">
        <v>0</v>
      </c>
      <c r="D9" s="433" t="s">
        <v>619</v>
      </c>
      <c r="E9" s="434" t="s">
        <v>620</v>
      </c>
      <c r="F9" s="436" t="s">
        <v>621</v>
      </c>
      <c r="G9" s="439"/>
      <c r="H9" s="418" t="s">
        <v>487</v>
      </c>
      <c r="I9" s="414" t="str">
        <f>IF(AND($C$8=1,$C$5+$C$6+$C$7=0,$C$9=2),"ДА","НЕТ")</f>
        <v>НЕТ</v>
      </c>
      <c r="J9" s="322"/>
      <c r="K9" s="319">
        <f t="shared" si="0"/>
        <v>0</v>
      </c>
      <c r="L9" s="405"/>
      <c r="M9" s="405"/>
    </row>
    <row r="10" spans="1:13" ht="12" customHeight="1" thickBot="1">
      <c r="A10" s="405"/>
      <c r="B10" s="514" t="s">
        <v>123</v>
      </c>
      <c r="C10" s="568">
        <v>0</v>
      </c>
      <c r="D10" s="1277" t="s">
        <v>675</v>
      </c>
      <c r="E10" s="1278"/>
      <c r="F10" s="1279"/>
      <c r="G10" s="439"/>
      <c r="H10" s="418" t="s">
        <v>488</v>
      </c>
      <c r="I10" s="414" t="str">
        <f>IF(AND($C$8=1,$C$5+$C$6+$C$7=0,$C$9=2),"ДА","НЕТ")</f>
        <v>НЕТ</v>
      </c>
      <c r="J10" s="322"/>
      <c r="K10" s="319">
        <f t="shared" si="0"/>
        <v>0</v>
      </c>
      <c r="L10" s="405"/>
      <c r="M10" s="405"/>
    </row>
    <row r="11" spans="1:13" ht="12" customHeight="1" thickBot="1">
      <c r="A11" s="405"/>
      <c r="B11" s="429" t="s">
        <v>404</v>
      </c>
      <c r="C11" s="465">
        <v>0</v>
      </c>
      <c r="D11" s="433" t="s">
        <v>287</v>
      </c>
      <c r="E11" s="436" t="s">
        <v>255</v>
      </c>
      <c r="F11" s="629"/>
      <c r="G11" s="439"/>
      <c r="H11" s="418" t="s">
        <v>494</v>
      </c>
      <c r="I11" s="414" t="str">
        <f>IF(AND($C$8=1,$C$5+$C$6+$C$7=0,$C$9=2),"ДА","НЕТ")</f>
        <v>НЕТ</v>
      </c>
      <c r="J11" s="322"/>
      <c r="K11" s="319">
        <f t="shared" si="0"/>
        <v>0</v>
      </c>
      <c r="L11" s="405"/>
      <c r="M11" s="405"/>
    </row>
    <row r="12" spans="1:13" ht="12" customHeight="1">
      <c r="A12" s="405"/>
      <c r="B12" s="419" t="s">
        <v>397</v>
      </c>
      <c r="C12" s="462">
        <v>0</v>
      </c>
      <c r="D12" s="420" t="s">
        <v>287</v>
      </c>
      <c r="E12" s="625" t="s">
        <v>255</v>
      </c>
      <c r="F12" s="1252" t="s">
        <v>597</v>
      </c>
      <c r="G12" s="439"/>
      <c r="H12" s="413" t="s">
        <v>381</v>
      </c>
      <c r="I12" s="414" t="str">
        <f>IF(AND($C$5=1,$C$8+$C$7+$C$6=0,$C$9=1),"ДА","НЕТ")</f>
        <v>НЕТ</v>
      </c>
      <c r="J12" s="325"/>
      <c r="K12" s="319">
        <f t="shared" si="0"/>
        <v>0</v>
      </c>
      <c r="L12" s="405"/>
      <c r="M12" s="405"/>
    </row>
    <row r="13" spans="1:13" ht="12" customHeight="1" thickBot="1">
      <c r="A13" s="405"/>
      <c r="B13" s="412" t="s">
        <v>398</v>
      </c>
      <c r="C13" s="463">
        <v>0</v>
      </c>
      <c r="D13" s="427" t="s">
        <v>287</v>
      </c>
      <c r="E13" s="431" t="s">
        <v>255</v>
      </c>
      <c r="F13" s="1253"/>
      <c r="G13" s="439"/>
      <c r="H13" s="413" t="s">
        <v>382</v>
      </c>
      <c r="I13" s="414" t="str">
        <f>IF(AND($C$5=1,$C$8+$C$7+$C$6=0,$C$9=3),"ДА","НЕТ")</f>
        <v>НЕТ</v>
      </c>
      <c r="J13" s="325"/>
      <c r="K13" s="319">
        <f t="shared" si="0"/>
        <v>0</v>
      </c>
      <c r="L13" s="405"/>
      <c r="M13" s="405"/>
    </row>
    <row r="14" spans="1:13" ht="12" customHeight="1">
      <c r="A14" s="405"/>
      <c r="B14" s="407" t="s">
        <v>147</v>
      </c>
      <c r="C14" s="464">
        <v>0</v>
      </c>
      <c r="D14" s="1242" t="s">
        <v>686</v>
      </c>
      <c r="E14" s="1243"/>
      <c r="F14" s="1244"/>
      <c r="G14" s="439"/>
      <c r="H14" s="413" t="s">
        <v>383</v>
      </c>
      <c r="I14" s="414" t="str">
        <f>IF(AND($C$6=1,$C$7+$C$8+$C$5=0,$C$9=1),"ДА","НЕТ")</f>
        <v>НЕТ</v>
      </c>
      <c r="J14" s="325"/>
      <c r="K14" s="319">
        <f t="shared" si="0"/>
        <v>0</v>
      </c>
      <c r="L14" s="405"/>
      <c r="M14" s="405"/>
    </row>
    <row r="15" spans="1:13" ht="12" customHeight="1">
      <c r="A15" s="405"/>
      <c r="B15" s="417" t="s">
        <v>146</v>
      </c>
      <c r="C15" s="461">
        <v>0</v>
      </c>
      <c r="D15" s="1245" t="s">
        <v>687</v>
      </c>
      <c r="E15" s="1246"/>
      <c r="F15" s="1247"/>
      <c r="G15" s="439"/>
      <c r="H15" s="416" t="s">
        <v>384</v>
      </c>
      <c r="I15" s="414" t="str">
        <f>IF(AND($C$6=1,$C$7+$C$8+$C$5=0,$C$9=1),"ДА","НЕТ")</f>
        <v>НЕТ</v>
      </c>
      <c r="J15" s="325"/>
      <c r="K15" s="319">
        <f t="shared" si="0"/>
        <v>0</v>
      </c>
      <c r="L15" s="405"/>
      <c r="M15" s="405"/>
    </row>
    <row r="16" spans="1:13" ht="12" customHeight="1" thickBot="1">
      <c r="A16" s="405"/>
      <c r="B16" s="412" t="s">
        <v>143</v>
      </c>
      <c r="C16" s="463">
        <v>0</v>
      </c>
      <c r="D16" s="1248" t="s">
        <v>688</v>
      </c>
      <c r="E16" s="1249"/>
      <c r="F16" s="1250"/>
      <c r="G16" s="439"/>
      <c r="H16" s="413" t="s">
        <v>388</v>
      </c>
      <c r="I16" s="414" t="str">
        <f>IF(AND($C$6=1,$C$7+$C$8+$C$5=0,$C$9=2),"ДА","НЕТ")</f>
        <v>НЕТ</v>
      </c>
      <c r="J16" s="325"/>
      <c r="K16" s="319">
        <f t="shared" si="0"/>
        <v>0</v>
      </c>
      <c r="L16" s="405"/>
      <c r="M16" s="405"/>
    </row>
    <row r="17" spans="1:13" ht="12" customHeight="1" thickBot="1">
      <c r="A17" s="405"/>
      <c r="B17" s="604"/>
      <c r="C17" s="604"/>
      <c r="D17" s="604"/>
      <c r="E17" s="439"/>
      <c r="F17" s="439"/>
      <c r="G17" s="439"/>
      <c r="H17" s="437" t="s">
        <v>389</v>
      </c>
      <c r="I17" s="438" t="str">
        <f>IF(AND($C$6=1,$C$7+$C$8+$C$5=0,$C$9=2),"ДА","НЕТ")</f>
        <v>НЕТ</v>
      </c>
      <c r="J17" s="332"/>
      <c r="K17" s="475">
        <f t="shared" si="0"/>
        <v>0</v>
      </c>
      <c r="L17" s="405"/>
      <c r="M17" s="405"/>
    </row>
    <row r="18" spans="1:13" ht="12" customHeight="1">
      <c r="A18" s="405"/>
      <c r="B18" s="444" t="s">
        <v>5</v>
      </c>
      <c r="C18" s="445" t="s">
        <v>0</v>
      </c>
      <c r="D18" s="446" t="s">
        <v>4</v>
      </c>
      <c r="E18" s="447" t="s">
        <v>8</v>
      </c>
      <c r="F18" s="439"/>
      <c r="G18" s="439"/>
      <c r="H18" s="439"/>
      <c r="I18" s="439"/>
      <c r="J18" s="439"/>
      <c r="K18" s="439"/>
      <c r="L18" s="405"/>
      <c r="M18" s="405"/>
    </row>
    <row r="19" spans="1:13" ht="12" customHeight="1">
      <c r="A19" s="405"/>
      <c r="B19" s="451" t="s">
        <v>401</v>
      </c>
      <c r="C19" s="347">
        <f>C2*C10</f>
        <v>0</v>
      </c>
      <c r="D19" s="353"/>
      <c r="E19" s="344">
        <f>C19*D19</f>
        <v>0</v>
      </c>
      <c r="F19" s="439"/>
      <c r="G19" s="439"/>
      <c r="H19" s="439"/>
      <c r="I19" s="439"/>
      <c r="J19" s="439"/>
      <c r="K19" s="439"/>
      <c r="L19" s="405"/>
      <c r="M19" s="405"/>
    </row>
    <row r="20" spans="1:13" ht="12" customHeight="1">
      <c r="A20" s="405"/>
      <c r="B20" s="451" t="s">
        <v>402</v>
      </c>
      <c r="C20" s="347">
        <f>IF(C13=1,C2*C10,0)</f>
        <v>0</v>
      </c>
      <c r="D20" s="353"/>
      <c r="E20" s="344">
        <f>C20*D20</f>
        <v>0</v>
      </c>
      <c r="F20" s="439"/>
      <c r="G20" s="439"/>
      <c r="H20" s="439"/>
      <c r="I20" s="439"/>
      <c r="J20" s="439"/>
      <c r="K20" s="439"/>
      <c r="L20" s="405"/>
      <c r="M20" s="405"/>
    </row>
    <row r="21" spans="1:13" ht="12" customHeight="1">
      <c r="A21" s="405"/>
      <c r="B21" s="449" t="s">
        <v>399</v>
      </c>
      <c r="C21" s="342">
        <f>IF(AND(C12=1,C13=0),(C4*C10)*2,0)</f>
        <v>0</v>
      </c>
      <c r="D21" s="353"/>
      <c r="E21" s="344">
        <f>C21*D21</f>
        <v>0</v>
      </c>
      <c r="F21" s="439"/>
      <c r="G21" s="439"/>
      <c r="H21" s="439"/>
      <c r="I21" s="439"/>
      <c r="J21" s="439"/>
      <c r="K21" s="439"/>
      <c r="L21" s="405"/>
      <c r="M21" s="405"/>
    </row>
    <row r="22" spans="1:13" ht="12" customHeight="1">
      <c r="A22" s="405"/>
      <c r="B22" s="449" t="s">
        <v>400</v>
      </c>
      <c r="C22" s="342">
        <f>IF(AND(C12=0,C13=1),C4*C10,0)</f>
        <v>0</v>
      </c>
      <c r="D22" s="353"/>
      <c r="E22" s="344">
        <f>C22*D22</f>
        <v>0</v>
      </c>
      <c r="F22" s="439"/>
      <c r="G22" s="439"/>
      <c r="H22" s="439"/>
      <c r="I22" s="439"/>
      <c r="J22" s="439"/>
      <c r="K22" s="439"/>
      <c r="L22" s="405"/>
      <c r="M22" s="405"/>
    </row>
    <row r="23" spans="1:13" ht="12" customHeight="1">
      <c r="A23" s="405"/>
      <c r="B23" s="451" t="s">
        <v>447</v>
      </c>
      <c r="C23" s="347">
        <f>C10*2</f>
        <v>0</v>
      </c>
      <c r="D23" s="353"/>
      <c r="E23" s="344">
        <f t="shared" ref="E23:E55" si="1">C23*D23</f>
        <v>0</v>
      </c>
      <c r="F23" s="439"/>
      <c r="G23" s="439"/>
      <c r="H23" s="439"/>
      <c r="I23" s="439"/>
      <c r="J23" s="439"/>
      <c r="K23" s="439"/>
      <c r="L23" s="405"/>
      <c r="M23" s="405"/>
    </row>
    <row r="24" spans="1:13" ht="12" customHeight="1">
      <c r="A24" s="405"/>
      <c r="B24" s="451" t="s">
        <v>503</v>
      </c>
      <c r="C24" s="347">
        <f>(C4-1)*C10</f>
        <v>0</v>
      </c>
      <c r="D24" s="353"/>
      <c r="E24" s="344">
        <f t="shared" si="1"/>
        <v>0</v>
      </c>
      <c r="F24" s="439"/>
      <c r="G24" s="439"/>
      <c r="H24" s="439"/>
      <c r="I24" s="439"/>
      <c r="J24" s="439"/>
      <c r="K24" s="439"/>
      <c r="L24" s="405"/>
      <c r="M24" s="405"/>
    </row>
    <row r="25" spans="1:13" ht="12" customHeight="1">
      <c r="A25" s="405"/>
      <c r="B25" s="449" t="s">
        <v>474</v>
      </c>
      <c r="C25" s="342">
        <f>C2*C10*(C5+C7)</f>
        <v>0</v>
      </c>
      <c r="D25" s="343"/>
      <c r="E25" s="344">
        <f t="shared" si="1"/>
        <v>0</v>
      </c>
      <c r="F25" s="439"/>
      <c r="G25" s="439"/>
      <c r="H25" s="439"/>
      <c r="I25" s="439"/>
      <c r="J25" s="439"/>
      <c r="K25" s="439"/>
      <c r="L25" s="405"/>
      <c r="M25" s="405"/>
    </row>
    <row r="26" spans="1:13" ht="12" customHeight="1">
      <c r="A26" s="405"/>
      <c r="B26" s="451" t="s">
        <v>480</v>
      </c>
      <c r="C26" s="347">
        <f>C10*C2*(C6+C8)</f>
        <v>0</v>
      </c>
      <c r="D26" s="353"/>
      <c r="E26" s="344">
        <f t="shared" si="1"/>
        <v>0</v>
      </c>
      <c r="F26" s="439"/>
      <c r="G26" s="439"/>
      <c r="H26" s="439"/>
      <c r="I26" s="439"/>
      <c r="J26" s="439"/>
      <c r="K26" s="439"/>
      <c r="L26" s="405"/>
      <c r="M26" s="405"/>
    </row>
    <row r="27" spans="1:13" ht="12" customHeight="1">
      <c r="A27" s="405"/>
      <c r="B27" s="451" t="s">
        <v>118</v>
      </c>
      <c r="C27" s="347">
        <f>C2*C10</f>
        <v>0</v>
      </c>
      <c r="D27" s="348"/>
      <c r="E27" s="344">
        <f t="shared" si="1"/>
        <v>0</v>
      </c>
      <c r="F27" s="439"/>
      <c r="G27" s="439"/>
      <c r="H27" s="439"/>
      <c r="I27" s="439"/>
      <c r="J27" s="439"/>
      <c r="K27" s="439"/>
      <c r="L27" s="405"/>
      <c r="M27" s="405"/>
    </row>
    <row r="28" spans="1:13" ht="12" customHeight="1">
      <c r="A28" s="405"/>
      <c r="B28" s="449" t="s">
        <v>451</v>
      </c>
      <c r="C28" s="342">
        <f>C2*C10*(C5+C7)</f>
        <v>0</v>
      </c>
      <c r="D28" s="343"/>
      <c r="E28" s="344">
        <f t="shared" si="1"/>
        <v>0</v>
      </c>
      <c r="F28" s="439"/>
      <c r="G28" s="439"/>
      <c r="H28" s="439"/>
      <c r="I28" s="439"/>
      <c r="J28" s="439"/>
      <c r="K28" s="439"/>
      <c r="L28" s="405"/>
      <c r="M28" s="405"/>
    </row>
    <row r="29" spans="1:13" ht="12" customHeight="1">
      <c r="A29" s="405"/>
      <c r="B29" s="449" t="s">
        <v>450</v>
      </c>
      <c r="C29" s="342">
        <f>C10*C2*(C6+C8)</f>
        <v>0</v>
      </c>
      <c r="D29" s="396"/>
      <c r="E29" s="344">
        <f t="shared" si="1"/>
        <v>0</v>
      </c>
      <c r="F29" s="439"/>
      <c r="G29" s="439"/>
      <c r="H29" s="439"/>
      <c r="I29" s="439"/>
      <c r="J29" s="439"/>
      <c r="K29" s="439"/>
      <c r="L29" s="405"/>
      <c r="M29" s="405"/>
    </row>
    <row r="30" spans="1:13" ht="12" customHeight="1">
      <c r="A30" s="405"/>
      <c r="B30" s="451" t="s">
        <v>367</v>
      </c>
      <c r="C30" s="347">
        <f>C10*(C5+C7)</f>
        <v>0</v>
      </c>
      <c r="D30" s="348"/>
      <c r="E30" s="344">
        <f t="shared" si="1"/>
        <v>0</v>
      </c>
      <c r="F30" s="439"/>
      <c r="G30" s="439"/>
      <c r="H30" s="439"/>
      <c r="I30" s="439"/>
      <c r="J30" s="439"/>
      <c r="K30" s="439"/>
      <c r="L30" s="405"/>
      <c r="M30" s="405"/>
    </row>
    <row r="31" spans="1:13" ht="12" customHeight="1">
      <c r="A31" s="405"/>
      <c r="B31" s="451" t="s">
        <v>725</v>
      </c>
      <c r="C31" s="347">
        <f>C10*(C4*2-2)*(C6+C8)</f>
        <v>0</v>
      </c>
      <c r="D31" s="353"/>
      <c r="E31" s="344">
        <f t="shared" si="1"/>
        <v>0</v>
      </c>
      <c r="F31" s="439"/>
      <c r="G31" s="439"/>
      <c r="H31" s="439"/>
      <c r="I31" s="439"/>
      <c r="J31" s="439"/>
      <c r="K31" s="439"/>
      <c r="L31" s="405"/>
      <c r="M31" s="405"/>
    </row>
    <row r="32" spans="1:13" ht="12" customHeight="1">
      <c r="A32" s="405"/>
      <c r="B32" s="451" t="s">
        <v>470</v>
      </c>
      <c r="C32" s="347">
        <f>C10*(C6+C8)</f>
        <v>0</v>
      </c>
      <c r="D32" s="353"/>
      <c r="E32" s="569">
        <f>C32*D32</f>
        <v>0</v>
      </c>
      <c r="F32" s="439"/>
      <c r="G32" s="439"/>
      <c r="H32" s="439"/>
      <c r="I32" s="439"/>
      <c r="J32" s="439"/>
      <c r="K32" s="439"/>
      <c r="L32" s="405"/>
      <c r="M32" s="405"/>
    </row>
    <row r="33" spans="1:13" ht="12" customHeight="1">
      <c r="A33" s="405"/>
      <c r="B33" s="451" t="s">
        <v>504</v>
      </c>
      <c r="C33" s="347">
        <f>(C4-1)*C10</f>
        <v>0</v>
      </c>
      <c r="D33" s="348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  <c r="M33" s="405"/>
    </row>
    <row r="34" spans="1:13" ht="12" customHeight="1">
      <c r="A34" s="405"/>
      <c r="B34" s="451" t="s">
        <v>505</v>
      </c>
      <c r="C34" s="347">
        <f>(C4-1)*C10</f>
        <v>0</v>
      </c>
      <c r="D34" s="348"/>
      <c r="E34" s="344">
        <f t="shared" si="1"/>
        <v>0</v>
      </c>
      <c r="F34" s="439"/>
      <c r="G34" s="439"/>
      <c r="H34" s="439"/>
      <c r="I34" s="439"/>
      <c r="J34" s="439"/>
      <c r="K34" s="439"/>
      <c r="L34" s="405"/>
      <c r="M34" s="405"/>
    </row>
    <row r="35" spans="1:13" ht="12" customHeight="1">
      <c r="A35" s="405"/>
      <c r="B35" s="451" t="s">
        <v>828</v>
      </c>
      <c r="C35" s="347">
        <f>C10</f>
        <v>0</v>
      </c>
      <c r="D35" s="348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  <c r="M35" s="405"/>
    </row>
    <row r="36" spans="1:13" ht="12" customHeight="1">
      <c r="A36" s="405"/>
      <c r="B36" s="451" t="s">
        <v>634</v>
      </c>
      <c r="C36" s="347">
        <f>EVEN(ROUNDDOWN(IF(C11=1,(C2/0.5)*C10,0),0))</f>
        <v>0</v>
      </c>
      <c r="D36" s="348"/>
      <c r="E36" s="344">
        <f t="shared" si="1"/>
        <v>0</v>
      </c>
      <c r="F36" s="439"/>
      <c r="G36" s="439"/>
      <c r="H36" s="439"/>
      <c r="I36" s="439"/>
      <c r="J36" s="439"/>
      <c r="K36" s="439"/>
      <c r="L36" s="405"/>
      <c r="M36" s="405"/>
    </row>
    <row r="37" spans="1:13" ht="12" customHeight="1">
      <c r="A37" s="405"/>
      <c r="B37" s="451" t="s">
        <v>479</v>
      </c>
      <c r="C37" s="347">
        <f>EVEN(ROUNDDOWN(IF(C11=0,(C33/0.5)*C10,0),0))</f>
        <v>0</v>
      </c>
      <c r="D37" s="348"/>
      <c r="E37" s="344">
        <f t="shared" si="1"/>
        <v>0</v>
      </c>
      <c r="F37" s="439"/>
      <c r="G37" s="439"/>
      <c r="H37" s="439"/>
      <c r="I37" s="439"/>
      <c r="J37" s="439"/>
      <c r="K37" s="439"/>
      <c r="L37" s="405"/>
      <c r="M37" s="405"/>
    </row>
    <row r="38" spans="1:13" ht="12" customHeight="1">
      <c r="A38" s="405"/>
      <c r="B38" s="451" t="s">
        <v>630</v>
      </c>
      <c r="C38" s="347">
        <f>C2*C10</f>
        <v>0</v>
      </c>
      <c r="D38" s="348"/>
      <c r="E38" s="344">
        <f t="shared" si="1"/>
        <v>0</v>
      </c>
      <c r="F38" s="453"/>
      <c r="G38" s="439"/>
      <c r="H38" s="439"/>
      <c r="I38" s="439"/>
      <c r="J38" s="439"/>
      <c r="K38" s="439"/>
      <c r="L38" s="405"/>
      <c r="M38" s="405"/>
    </row>
    <row r="39" spans="1:13" ht="12" customHeight="1">
      <c r="A39" s="405"/>
      <c r="B39" s="451" t="s">
        <v>631</v>
      </c>
      <c r="C39" s="347">
        <f>C2*C10</f>
        <v>0</v>
      </c>
      <c r="D39" s="348"/>
      <c r="E39" s="344">
        <f t="shared" si="1"/>
        <v>0</v>
      </c>
      <c r="F39" s="642"/>
      <c r="G39" s="439"/>
      <c r="H39" s="439"/>
      <c r="I39" s="439"/>
      <c r="J39" s="439"/>
      <c r="K39" s="439"/>
      <c r="L39" s="405"/>
      <c r="M39" s="405"/>
    </row>
    <row r="40" spans="1:13" ht="12" customHeight="1">
      <c r="A40" s="405"/>
      <c r="B40" s="451" t="s">
        <v>632</v>
      </c>
      <c r="C40" s="347">
        <f>C10</f>
        <v>0</v>
      </c>
      <c r="D40" s="348"/>
      <c r="E40" s="344">
        <f t="shared" si="1"/>
        <v>0</v>
      </c>
      <c r="F40" s="647"/>
      <c r="G40" s="439"/>
      <c r="H40" s="439"/>
      <c r="I40" s="439"/>
      <c r="J40" s="439"/>
      <c r="K40" s="439"/>
      <c r="L40" s="405"/>
      <c r="M40" s="405"/>
    </row>
    <row r="41" spans="1:13" ht="12" customHeight="1">
      <c r="A41" s="405"/>
      <c r="B41" s="451" t="s">
        <v>633</v>
      </c>
      <c r="C41" s="347">
        <f>C10</f>
        <v>0</v>
      </c>
      <c r="D41" s="348"/>
      <c r="E41" s="344">
        <f t="shared" si="1"/>
        <v>0</v>
      </c>
      <c r="F41" s="647"/>
      <c r="G41" s="439"/>
      <c r="H41" s="439"/>
      <c r="I41" s="439"/>
      <c r="J41" s="439"/>
      <c r="K41" s="439"/>
      <c r="L41" s="405"/>
      <c r="M41" s="405"/>
    </row>
    <row r="42" spans="1:13" ht="12" customHeight="1">
      <c r="A42" s="405"/>
      <c r="B42" s="452" t="s">
        <v>506</v>
      </c>
      <c r="C42" s="354">
        <f>(C4-1)*C10</f>
        <v>0</v>
      </c>
      <c r="D42" s="348"/>
      <c r="E42" s="344">
        <f t="shared" si="1"/>
        <v>0</v>
      </c>
      <c r="F42" s="647"/>
      <c r="G42" s="439"/>
      <c r="H42" s="439"/>
      <c r="I42" s="439"/>
      <c r="J42" s="439"/>
      <c r="K42" s="439"/>
      <c r="L42" s="405"/>
      <c r="M42" s="405"/>
    </row>
    <row r="43" spans="1:13" ht="12" customHeight="1">
      <c r="A43" s="405"/>
      <c r="B43" s="452" t="s">
        <v>507</v>
      </c>
      <c r="C43" s="354">
        <f>(C4-1)*C10</f>
        <v>0</v>
      </c>
      <c r="D43" s="348">
        <v>1</v>
      </c>
      <c r="E43" s="344">
        <f t="shared" si="1"/>
        <v>0</v>
      </c>
      <c r="F43" s="648"/>
      <c r="G43" s="439"/>
      <c r="H43" s="439"/>
      <c r="I43" s="439"/>
      <c r="J43" s="439"/>
      <c r="K43" s="439"/>
      <c r="L43" s="405"/>
      <c r="M43" s="405"/>
    </row>
    <row r="44" spans="1:13" ht="12" customHeight="1">
      <c r="A44" s="405"/>
      <c r="B44" s="452" t="s">
        <v>378</v>
      </c>
      <c r="C44" s="399">
        <f>C8*C10</f>
        <v>0</v>
      </c>
      <c r="D44" s="353"/>
      <c r="E44" s="400">
        <f t="shared" si="1"/>
        <v>0</v>
      </c>
      <c r="F44" s="648"/>
      <c r="G44" s="439"/>
      <c r="H44" s="439"/>
      <c r="I44" s="439"/>
      <c r="J44" s="439"/>
      <c r="K44" s="439"/>
      <c r="L44" s="405"/>
      <c r="M44" s="405"/>
    </row>
    <row r="45" spans="1:13" ht="12" customHeight="1">
      <c r="A45" s="405"/>
      <c r="B45" s="452" t="s">
        <v>386</v>
      </c>
      <c r="C45" s="399">
        <f>C6*C10</f>
        <v>0</v>
      </c>
      <c r="D45" s="353"/>
      <c r="E45" s="400">
        <f t="shared" si="1"/>
        <v>0</v>
      </c>
      <c r="F45" s="648"/>
      <c r="G45" s="439"/>
      <c r="H45" s="439"/>
      <c r="I45" s="439"/>
      <c r="J45" s="439"/>
      <c r="K45" s="439"/>
      <c r="L45" s="405"/>
      <c r="M45" s="405"/>
    </row>
    <row r="46" spans="1:13" ht="12" customHeight="1">
      <c r="A46" s="405"/>
      <c r="B46" s="452" t="s">
        <v>387</v>
      </c>
      <c r="C46" s="399">
        <f>C6*C10</f>
        <v>0</v>
      </c>
      <c r="D46" s="353"/>
      <c r="E46" s="400">
        <f t="shared" si="1"/>
        <v>0</v>
      </c>
      <c r="F46" s="648"/>
      <c r="G46" s="439"/>
      <c r="H46" s="439"/>
      <c r="I46" s="439"/>
      <c r="J46" s="439"/>
      <c r="K46" s="439"/>
      <c r="L46" s="405"/>
      <c r="M46" s="405"/>
    </row>
    <row r="47" spans="1:13" ht="12" customHeight="1">
      <c r="A47" s="405"/>
      <c r="B47" s="452" t="s">
        <v>377</v>
      </c>
      <c r="C47" s="399">
        <f>C7*C10</f>
        <v>0</v>
      </c>
      <c r="D47" s="353"/>
      <c r="E47" s="400">
        <f t="shared" si="1"/>
        <v>0</v>
      </c>
      <c r="F47" s="648"/>
      <c r="G47" s="439"/>
      <c r="H47" s="439"/>
      <c r="I47" s="439"/>
      <c r="J47" s="439"/>
      <c r="K47" s="439"/>
      <c r="L47" s="405"/>
      <c r="M47" s="405"/>
    </row>
    <row r="48" spans="1:13" ht="12" customHeight="1">
      <c r="A48" s="405"/>
      <c r="B48" s="452" t="s">
        <v>454</v>
      </c>
      <c r="C48" s="354">
        <f>(C5+C6)*C10</f>
        <v>0</v>
      </c>
      <c r="D48" s="348"/>
      <c r="E48" s="344">
        <f t="shared" si="1"/>
        <v>0</v>
      </c>
      <c r="F48" s="648"/>
      <c r="G48" s="439"/>
      <c r="H48" s="439"/>
      <c r="I48" s="439"/>
      <c r="J48" s="439"/>
      <c r="K48" s="439"/>
      <c r="L48" s="405"/>
      <c r="M48" s="405"/>
    </row>
    <row r="49" spans="1:13" ht="12" customHeight="1">
      <c r="A49" s="405"/>
      <c r="B49" s="452" t="s">
        <v>375</v>
      </c>
      <c r="C49" s="354">
        <f>C6*C10</f>
        <v>0</v>
      </c>
      <c r="D49" s="348"/>
      <c r="E49" s="344">
        <f t="shared" si="1"/>
        <v>0</v>
      </c>
      <c r="F49" s="648"/>
      <c r="G49" s="439"/>
      <c r="H49" s="439"/>
      <c r="I49" s="439"/>
      <c r="J49" s="439"/>
      <c r="K49" s="439"/>
      <c r="L49" s="405"/>
      <c r="M49" s="405"/>
    </row>
    <row r="50" spans="1:13" ht="12" customHeight="1">
      <c r="A50" s="405"/>
      <c r="B50" s="452" t="s">
        <v>495</v>
      </c>
      <c r="C50" s="354">
        <f>C6*C10</f>
        <v>0</v>
      </c>
      <c r="D50" s="348"/>
      <c r="E50" s="344">
        <f t="shared" si="1"/>
        <v>0</v>
      </c>
      <c r="F50" s="642"/>
      <c r="G50" s="439"/>
      <c r="H50" s="439"/>
      <c r="I50" s="439"/>
      <c r="J50" s="439"/>
      <c r="K50" s="439"/>
      <c r="L50" s="405"/>
      <c r="M50" s="405"/>
    </row>
    <row r="51" spans="1:13" ht="12" customHeight="1">
      <c r="A51" s="405"/>
      <c r="B51" s="452" t="s">
        <v>380</v>
      </c>
      <c r="C51" s="354">
        <f>C5*C10</f>
        <v>0</v>
      </c>
      <c r="D51" s="348"/>
      <c r="E51" s="344">
        <f t="shared" si="1"/>
        <v>0</v>
      </c>
      <c r="F51" s="647"/>
      <c r="G51" s="439"/>
      <c r="H51" s="439"/>
      <c r="I51" s="439"/>
      <c r="J51" s="439"/>
      <c r="K51" s="439"/>
      <c r="L51" s="405"/>
      <c r="M51" s="405"/>
    </row>
    <row r="52" spans="1:13" ht="12" customHeight="1">
      <c r="A52" s="405"/>
      <c r="B52" s="525" t="s">
        <v>145</v>
      </c>
      <c r="C52" s="506">
        <f>C15</f>
        <v>0</v>
      </c>
      <c r="D52" s="522"/>
      <c r="E52" s="400">
        <f t="shared" si="1"/>
        <v>0</v>
      </c>
      <c r="F52" s="647"/>
      <c r="G52" s="439"/>
      <c r="H52" s="439"/>
      <c r="I52" s="439"/>
      <c r="J52" s="439"/>
      <c r="K52" s="439"/>
      <c r="L52" s="405"/>
      <c r="M52" s="405"/>
    </row>
    <row r="53" spans="1:13" ht="12" customHeight="1">
      <c r="A53" s="405"/>
      <c r="B53" s="525" t="s">
        <v>148</v>
      </c>
      <c r="C53" s="506">
        <f>C14</f>
        <v>0</v>
      </c>
      <c r="D53" s="522"/>
      <c r="E53" s="400">
        <f t="shared" si="1"/>
        <v>0</v>
      </c>
      <c r="F53" s="647"/>
      <c r="G53" s="439"/>
      <c r="H53" s="439"/>
      <c r="I53" s="439"/>
      <c r="J53" s="439"/>
      <c r="K53" s="439"/>
      <c r="L53" s="405"/>
      <c r="M53" s="405"/>
    </row>
    <row r="54" spans="1:13" ht="12" customHeight="1">
      <c r="A54" s="405"/>
      <c r="B54" s="525" t="s">
        <v>689</v>
      </c>
      <c r="C54" s="506">
        <f>C16</f>
        <v>0</v>
      </c>
      <c r="D54" s="522"/>
      <c r="E54" s="400">
        <f t="shared" si="1"/>
        <v>0</v>
      </c>
      <c r="F54" s="647"/>
      <c r="G54" s="439"/>
      <c r="H54" s="439"/>
      <c r="I54" s="439"/>
      <c r="J54" s="439"/>
      <c r="K54" s="439"/>
      <c r="L54" s="405"/>
      <c r="M54" s="405"/>
    </row>
    <row r="55" spans="1:13" ht="12" customHeight="1" thickBot="1">
      <c r="A55" s="405"/>
      <c r="B55" s="454" t="s">
        <v>829</v>
      </c>
      <c r="C55" s="402">
        <f>C5*C10</f>
        <v>0</v>
      </c>
      <c r="D55" s="403"/>
      <c r="E55" s="404">
        <f t="shared" si="1"/>
        <v>0</v>
      </c>
      <c r="F55" s="647"/>
      <c r="G55" s="439"/>
      <c r="H55" s="439"/>
      <c r="I55" s="439"/>
      <c r="J55" s="439"/>
      <c r="K55" s="439"/>
      <c r="L55" s="405"/>
      <c r="M55" s="405"/>
    </row>
    <row r="56" spans="1:13" ht="12" customHeight="1" thickBot="1">
      <c r="A56" s="405"/>
      <c r="B56" s="439"/>
      <c r="C56" s="439"/>
      <c r="D56" s="455" t="s">
        <v>9</v>
      </c>
      <c r="E56" s="527">
        <f>SUMIF(E19:E55,"&gt;0",E19:E55)</f>
        <v>0</v>
      </c>
      <c r="F56" s="647"/>
      <c r="G56" s="439"/>
      <c r="H56" s="439"/>
      <c r="I56" s="439"/>
      <c r="J56" s="439"/>
      <c r="K56" s="439"/>
      <c r="L56" s="405"/>
      <c r="M56" s="405"/>
    </row>
    <row r="57" spans="1:13">
      <c r="A57" s="405"/>
      <c r="B57" s="439"/>
      <c r="C57" s="439"/>
      <c r="D57" s="439"/>
      <c r="E57" s="439"/>
      <c r="F57" s="648"/>
      <c r="G57" s="439"/>
      <c r="H57" s="439"/>
      <c r="I57" s="439"/>
      <c r="J57" s="439"/>
      <c r="K57" s="439"/>
      <c r="L57" s="405"/>
      <c r="M57" s="405"/>
    </row>
    <row r="58" spans="1:13">
      <c r="A58" s="405"/>
      <c r="B58" s="439"/>
      <c r="C58" s="439"/>
      <c r="D58" s="439"/>
      <c r="E58" s="439"/>
      <c r="F58" s="439"/>
      <c r="G58" s="439"/>
      <c r="H58" s="439"/>
      <c r="I58" s="439"/>
      <c r="J58" s="439"/>
      <c r="K58" s="439"/>
      <c r="L58" s="405"/>
      <c r="M58" s="405"/>
    </row>
    <row r="59" spans="1:13" ht="11.25" customHeight="1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05"/>
      <c r="L59" s="405"/>
      <c r="M59" s="405"/>
    </row>
    <row r="60" spans="1:13" ht="11.25" customHeight="1">
      <c r="A60" s="405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405"/>
    </row>
    <row r="61" spans="1:13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  <c r="L61" s="405"/>
      <c r="M61" s="405"/>
    </row>
    <row r="62" spans="1:13">
      <c r="A62" s="405"/>
      <c r="B62" s="405"/>
      <c r="C62" s="405"/>
      <c r="D62" s="405"/>
      <c r="E62" s="405"/>
      <c r="F62" s="405"/>
      <c r="G62" s="405"/>
      <c r="H62" s="405"/>
      <c r="I62" s="405"/>
      <c r="J62" s="405"/>
      <c r="K62" s="405"/>
      <c r="L62" s="405"/>
      <c r="M62" s="405"/>
    </row>
    <row r="63" spans="1:13" ht="11.25" customHeight="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  <c r="L63" s="405"/>
      <c r="M63" s="405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363" priority="34" operator="greaterThan">
      <formula>0</formula>
    </cfRule>
  </conditionalFormatting>
  <conditionalFormatting sqref="C9">
    <cfRule type="cellIs" dxfId="362" priority="30" operator="greaterThan">
      <formula>0</formula>
    </cfRule>
  </conditionalFormatting>
  <conditionalFormatting sqref="C9">
    <cfRule type="cellIs" dxfId="361" priority="33" operator="greaterThan">
      <formula>0</formula>
    </cfRule>
  </conditionalFormatting>
  <conditionalFormatting sqref="C9">
    <cfRule type="cellIs" dxfId="360" priority="32" operator="greaterThan">
      <formula>0</formula>
    </cfRule>
  </conditionalFormatting>
  <conditionalFormatting sqref="C9">
    <cfRule type="cellIs" dxfId="359" priority="31" operator="greaterThan">
      <formula>0</formula>
    </cfRule>
  </conditionalFormatting>
  <conditionalFormatting sqref="C2:C9">
    <cfRule type="cellIs" dxfId="358" priority="29" operator="greaterThan">
      <formula>0</formula>
    </cfRule>
  </conditionalFormatting>
  <conditionalFormatting sqref="C26:E26">
    <cfRule type="cellIs" dxfId="357" priority="26" operator="greaterThan">
      <formula>0</formula>
    </cfRule>
  </conditionalFormatting>
  <conditionalFormatting sqref="C29:E29">
    <cfRule type="cellIs" dxfId="356" priority="25" operator="greaterThan">
      <formula>0</formula>
    </cfRule>
  </conditionalFormatting>
  <conditionalFormatting sqref="C32:E32">
    <cfRule type="cellIs" dxfId="355" priority="21" operator="greaterThan">
      <formula>0</formula>
    </cfRule>
  </conditionalFormatting>
  <conditionalFormatting sqref="C26:E26">
    <cfRule type="cellIs" dxfId="354" priority="27" operator="greaterThan">
      <formula>0</formula>
    </cfRule>
  </conditionalFormatting>
  <conditionalFormatting sqref="C26:E26">
    <cfRule type="cellIs" dxfId="353" priority="28" operator="greaterThan">
      <formula>0</formula>
    </cfRule>
  </conditionalFormatting>
  <conditionalFormatting sqref="C32:E32">
    <cfRule type="cellIs" dxfId="352" priority="22" operator="greaterThan">
      <formula>0</formula>
    </cfRule>
    <cfRule type="cellIs" dxfId="351" priority="23" operator="greaterThan">
      <formula>0</formula>
    </cfRule>
    <cfRule type="cellIs" dxfId="350" priority="24" operator="greaterThan">
      <formula>0</formula>
    </cfRule>
  </conditionalFormatting>
  <conditionalFormatting sqref="C44:E47">
    <cfRule type="cellIs" dxfId="349" priority="14" operator="greaterThan">
      <formula>0</formula>
    </cfRule>
  </conditionalFormatting>
  <conditionalFormatting sqref="C45:E46">
    <cfRule type="cellIs" dxfId="348" priority="19" operator="greaterThan">
      <formula>0</formula>
    </cfRule>
  </conditionalFormatting>
  <conditionalFormatting sqref="C44:E44">
    <cfRule type="cellIs" dxfId="347" priority="20" operator="greaterThan">
      <formula>0</formula>
    </cfRule>
  </conditionalFormatting>
  <conditionalFormatting sqref="C47:E47">
    <cfRule type="cellIs" dxfId="346" priority="18" operator="greaterThan">
      <formula>0</formula>
    </cfRule>
  </conditionalFormatting>
  <conditionalFormatting sqref="C44:E47">
    <cfRule type="cellIs" dxfId="345" priority="15" operator="greaterThan">
      <formula>0</formula>
    </cfRule>
    <cfRule type="cellIs" dxfId="344" priority="16" operator="greaterThan">
      <formula>0</formula>
    </cfRule>
    <cfRule type="cellIs" dxfId="343" priority="17" operator="greaterThan">
      <formula>0</formula>
    </cfRule>
  </conditionalFormatting>
  <conditionalFormatting sqref="C44:E47">
    <cfRule type="cellIs" dxfId="342" priority="13" operator="greaterThan">
      <formula>0</formula>
    </cfRule>
  </conditionalFormatting>
  <conditionalFormatting sqref="J3:K17">
    <cfRule type="cellIs" dxfId="341" priority="3" operator="greaterThan">
      <formula>0</formula>
    </cfRule>
    <cfRule type="cellIs" dxfId="340" priority="7" operator="greaterThan">
      <formula>0</formula>
    </cfRule>
    <cfRule type="cellIs" dxfId="339" priority="8" operator="greaterThan">
      <formula>0</formula>
    </cfRule>
    <cfRule type="cellIs" dxfId="338" priority="9" operator="greaterThan">
      <formula>0</formula>
    </cfRule>
  </conditionalFormatting>
  <conditionalFormatting sqref="I3:I17">
    <cfRule type="cellIs" dxfId="337" priority="10" operator="equal">
      <formula>"НЕТ"</formula>
    </cfRule>
    <cfRule type="cellIs" dxfId="336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335" priority="6" operator="greaterThan">
      <formula>0</formula>
    </cfRule>
  </conditionalFormatting>
  <conditionalFormatting sqref="C19:E51 C55:E55">
    <cfRule type="cellIs" dxfId="334" priority="5" operator="greaterThan">
      <formula>0</formula>
    </cfRule>
  </conditionalFormatting>
  <conditionalFormatting sqref="E56">
    <cfRule type="cellIs" dxfId="333" priority="4" operator="greaterThan">
      <formula>0</formula>
    </cfRule>
  </conditionalFormatting>
  <conditionalFormatting sqref="C14:C16">
    <cfRule type="cellIs" dxfId="332" priority="2" operator="greaterThan">
      <formula>0</formula>
    </cfRule>
  </conditionalFormatting>
  <conditionalFormatting sqref="C52:E54">
    <cfRule type="cellIs" dxfId="33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0" activePane="bottomLeft" state="frozen"/>
      <selection pane="bottomLeft" activeCell="O10" sqref="O10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05"/>
      <c r="B1" s="1286"/>
      <c r="C1" s="1287"/>
      <c r="D1" s="1287"/>
      <c r="E1" s="1287"/>
      <c r="F1" s="405"/>
      <c r="G1" s="405"/>
      <c r="H1" s="405"/>
      <c r="I1" s="405"/>
      <c r="J1" s="405"/>
      <c r="K1" s="405"/>
    </row>
    <row r="2" spans="1:11" ht="12" customHeight="1" thickBot="1">
      <c r="A2" s="405"/>
      <c r="B2" s="407" t="s">
        <v>666</v>
      </c>
      <c r="C2" s="591">
        <v>2</v>
      </c>
      <c r="D2" s="1231" t="s">
        <v>595</v>
      </c>
      <c r="E2" s="1232"/>
      <c r="F2" s="1233"/>
      <c r="G2" s="439"/>
      <c r="H2" s="409" t="s">
        <v>485</v>
      </c>
      <c r="I2" s="688" t="s">
        <v>604</v>
      </c>
      <c r="J2" s="410" t="s">
        <v>4</v>
      </c>
      <c r="K2" s="411" t="s">
        <v>8</v>
      </c>
    </row>
    <row r="3" spans="1:11" ht="12" customHeight="1" thickBot="1">
      <c r="A3" s="405"/>
      <c r="B3" s="412" t="s">
        <v>667</v>
      </c>
      <c r="C3" s="459">
        <v>4</v>
      </c>
      <c r="D3" s="1234"/>
      <c r="E3" s="1235"/>
      <c r="F3" s="1236"/>
      <c r="G3" s="439"/>
      <c r="H3" s="413" t="s">
        <v>489</v>
      </c>
      <c r="I3" s="623" t="str">
        <f>IF(AND($C$6+$C$7=1,$C$8+$C$9=0,$C$10=1),"ДА","НЕТ")</f>
        <v>НЕТ</v>
      </c>
      <c r="J3" s="318"/>
      <c r="K3" s="319">
        <f>IF(I3="ДА",($C$4+$C$5)*J3,0)</f>
        <v>0</v>
      </c>
    </row>
    <row r="4" spans="1:11" ht="12" customHeight="1">
      <c r="A4" s="405"/>
      <c r="B4" s="407" t="s">
        <v>509</v>
      </c>
      <c r="C4" s="586">
        <v>2</v>
      </c>
      <c r="D4" s="1294" t="s">
        <v>128</v>
      </c>
      <c r="E4" s="1295"/>
      <c r="F4" s="1296"/>
      <c r="G4" s="439"/>
      <c r="H4" s="418" t="s">
        <v>486</v>
      </c>
      <c r="I4" s="624" t="str">
        <f>IF(AND($C$6+$C$7=1,$C$8+$C$9=0,$C$10=3),"ДА","НЕТ")</f>
        <v>НЕТ</v>
      </c>
      <c r="J4" s="325"/>
      <c r="K4" s="319">
        <f t="shared" ref="K4:K15" si="0">IF(I4="ДА",($C$4+$C$5)*J4,0)</f>
        <v>0</v>
      </c>
    </row>
    <row r="5" spans="1:11" ht="12" customHeight="1" thickBot="1">
      <c r="A5" s="405"/>
      <c r="B5" s="440" t="s">
        <v>510</v>
      </c>
      <c r="C5" s="588">
        <v>0</v>
      </c>
      <c r="D5" s="1300"/>
      <c r="E5" s="1301"/>
      <c r="F5" s="1302"/>
      <c r="G5" s="439"/>
      <c r="H5" s="418" t="s">
        <v>591</v>
      </c>
      <c r="I5" s="624" t="str">
        <f>IF(AND($C$6+$C$7=1,$C$8+$C$9=0,$C$10=3),"ДА","НЕТ")</f>
        <v>НЕТ</v>
      </c>
      <c r="J5" s="325"/>
      <c r="K5" s="319">
        <f t="shared" si="0"/>
        <v>0</v>
      </c>
    </row>
    <row r="6" spans="1:11" ht="12" customHeight="1">
      <c r="A6" s="405"/>
      <c r="B6" s="407" t="s">
        <v>498</v>
      </c>
      <c r="C6" s="607">
        <v>1</v>
      </c>
      <c r="D6" s="420" t="s">
        <v>287</v>
      </c>
      <c r="E6" s="625" t="s">
        <v>255</v>
      </c>
      <c r="F6" s="1240" t="s">
        <v>597</v>
      </c>
      <c r="G6" s="439"/>
      <c r="H6" s="418" t="s">
        <v>487</v>
      </c>
      <c r="I6" s="624" t="str">
        <f>IF(AND($C$6+$C$7=1,$C$8+$C$9=0,$C$10=2),"ДА","НЕТ")</f>
        <v>ДА</v>
      </c>
      <c r="J6" s="325"/>
      <c r="K6" s="319">
        <f t="shared" si="0"/>
        <v>0</v>
      </c>
    </row>
    <row r="7" spans="1:11" ht="12" customHeight="1">
      <c r="A7" s="405"/>
      <c r="B7" s="417" t="s">
        <v>499</v>
      </c>
      <c r="C7" s="461">
        <v>0</v>
      </c>
      <c r="D7" s="424" t="s">
        <v>287</v>
      </c>
      <c r="E7" s="644" t="s">
        <v>255</v>
      </c>
      <c r="F7" s="1240"/>
      <c r="G7" s="439"/>
      <c r="H7" s="418" t="s">
        <v>488</v>
      </c>
      <c r="I7" s="624" t="str">
        <f>IF(AND($C$6+$C$7=1,$C$8+$C$9=0,$C$10=2),"ДА","НЕТ")</f>
        <v>ДА</v>
      </c>
      <c r="J7" s="325"/>
      <c r="K7" s="319">
        <f t="shared" si="0"/>
        <v>0</v>
      </c>
    </row>
    <row r="8" spans="1:11" ht="12" customHeight="1">
      <c r="A8" s="405"/>
      <c r="B8" s="419" t="s">
        <v>500</v>
      </c>
      <c r="C8" s="462">
        <v>0</v>
      </c>
      <c r="D8" s="422" t="s">
        <v>287</v>
      </c>
      <c r="E8" s="690" t="s">
        <v>255</v>
      </c>
      <c r="F8" s="1240"/>
      <c r="G8" s="439"/>
      <c r="H8" s="418" t="s">
        <v>494</v>
      </c>
      <c r="I8" s="624" t="str">
        <f>IF(AND($C$6+$C$7=1,$C$8+$C$9=0,$C$10=2),"ДА","НЕТ")</f>
        <v>ДА</v>
      </c>
      <c r="J8" s="325"/>
      <c r="K8" s="319">
        <f t="shared" si="0"/>
        <v>0</v>
      </c>
    </row>
    <row r="9" spans="1:11" ht="12" customHeight="1" thickBot="1">
      <c r="A9" s="405"/>
      <c r="B9" s="412" t="s">
        <v>501</v>
      </c>
      <c r="C9" s="463">
        <v>0</v>
      </c>
      <c r="D9" s="427" t="s">
        <v>287</v>
      </c>
      <c r="E9" s="719" t="s">
        <v>255</v>
      </c>
      <c r="F9" s="1241"/>
      <c r="G9" s="439"/>
      <c r="H9" s="413" t="s">
        <v>590</v>
      </c>
      <c r="I9" s="624" t="str">
        <f>IF(AND($C$6+$C$7=1,$C$8+$C$9=0,$C$10=1),"ДА","НЕТ")</f>
        <v>НЕТ</v>
      </c>
      <c r="J9" s="318"/>
      <c r="K9" s="319">
        <f t="shared" si="0"/>
        <v>0</v>
      </c>
    </row>
    <row r="10" spans="1:11" ht="12" customHeight="1" thickBot="1">
      <c r="A10" s="405"/>
      <c r="B10" s="429" t="s">
        <v>589</v>
      </c>
      <c r="C10" s="548">
        <v>2</v>
      </c>
      <c r="D10" s="433" t="s">
        <v>619</v>
      </c>
      <c r="E10" s="720" t="s">
        <v>620</v>
      </c>
      <c r="F10" s="436" t="s">
        <v>621</v>
      </c>
      <c r="G10" s="439"/>
      <c r="H10" s="413" t="s">
        <v>383</v>
      </c>
      <c r="I10" s="624" t="str">
        <f>IF(AND($C$6+$C$7=0,$C$8+$C$9=1,$C$10=1),"ДА","НЕТ")</f>
        <v>НЕТ</v>
      </c>
      <c r="J10" s="325"/>
      <c r="K10" s="319">
        <f t="shared" si="0"/>
        <v>0</v>
      </c>
    </row>
    <row r="11" spans="1:11" ht="12" customHeight="1" thickBot="1">
      <c r="A11" s="405"/>
      <c r="B11" s="415" t="s">
        <v>393</v>
      </c>
      <c r="C11" s="460">
        <v>0</v>
      </c>
      <c r="D11" s="700" t="s">
        <v>394</v>
      </c>
      <c r="E11" s="718" t="s">
        <v>395</v>
      </c>
      <c r="F11" s="1307"/>
      <c r="G11" s="439"/>
      <c r="H11" s="416" t="s">
        <v>384</v>
      </c>
      <c r="I11" s="624" t="str">
        <f>IF(AND($C$6+$C$7=0,$C$8+$C$9=1,$C$10=1),"ДА","НЕТ")</f>
        <v>НЕТ</v>
      </c>
      <c r="J11" s="325"/>
      <c r="K11" s="319">
        <f t="shared" si="0"/>
        <v>0</v>
      </c>
    </row>
    <row r="12" spans="1:11" ht="12" customHeight="1" thickBot="1">
      <c r="A12" s="405"/>
      <c r="B12" s="429" t="s">
        <v>358</v>
      </c>
      <c r="C12" s="465">
        <v>0</v>
      </c>
      <c r="D12" s="433" t="s">
        <v>417</v>
      </c>
      <c r="E12" s="436" t="s">
        <v>418</v>
      </c>
      <c r="F12" s="1308"/>
      <c r="G12" s="439"/>
      <c r="H12" s="416" t="s">
        <v>385</v>
      </c>
      <c r="I12" s="624" t="str">
        <f>IF(AND($C$6+$C$7=0,$C$8+$C$9=1,$C$10=1),"ДА","НЕТ")</f>
        <v>НЕТ</v>
      </c>
      <c r="J12" s="328"/>
      <c r="K12" s="319">
        <f t="shared" si="0"/>
        <v>0</v>
      </c>
    </row>
    <row r="13" spans="1:11" ht="12" customHeight="1" thickBot="1">
      <c r="A13" s="405"/>
      <c r="B13" s="429" t="s">
        <v>123</v>
      </c>
      <c r="C13" s="566">
        <v>2</v>
      </c>
      <c r="D13" s="1277" t="s">
        <v>675</v>
      </c>
      <c r="E13" s="1278"/>
      <c r="F13" s="1279"/>
      <c r="G13" s="439"/>
      <c r="H13" s="413" t="s">
        <v>388</v>
      </c>
      <c r="I13" s="624" t="str">
        <f>IF(AND($C$6+$C$7=0,$C$8+$C$9=1,$C$10=2),"ДА","НЕТ")</f>
        <v>НЕТ</v>
      </c>
      <c r="J13" s="325"/>
      <c r="K13" s="319">
        <f t="shared" si="0"/>
        <v>0</v>
      </c>
    </row>
    <row r="14" spans="1:11" ht="12" customHeight="1" thickBot="1">
      <c r="A14" s="405"/>
      <c r="B14" s="691" t="s">
        <v>502</v>
      </c>
      <c r="C14" s="588">
        <v>0</v>
      </c>
      <c r="D14" s="1277" t="s">
        <v>540</v>
      </c>
      <c r="E14" s="1278"/>
      <c r="F14" s="1279"/>
      <c r="G14" s="439"/>
      <c r="H14" s="416" t="s">
        <v>389</v>
      </c>
      <c r="I14" s="624" t="str">
        <f>IF(AND($C$6+$C$7=0,$C$8+$C$9=1,$C$10=2),"ДА","НЕТ")</f>
        <v>НЕТ</v>
      </c>
      <c r="J14" s="325"/>
      <c r="K14" s="319">
        <f t="shared" si="0"/>
        <v>0</v>
      </c>
    </row>
    <row r="15" spans="1:11" ht="12" customHeight="1" thickBot="1">
      <c r="A15" s="405"/>
      <c r="B15" s="419" t="s">
        <v>397</v>
      </c>
      <c r="C15" s="462">
        <v>0</v>
      </c>
      <c r="D15" s="420" t="s">
        <v>287</v>
      </c>
      <c r="E15" s="625" t="s">
        <v>255</v>
      </c>
      <c r="F15" s="1252" t="s">
        <v>597</v>
      </c>
      <c r="G15" s="439"/>
      <c r="H15" s="437" t="s">
        <v>390</v>
      </c>
      <c r="I15" s="634" t="str">
        <f>IF(AND($C$6+$C$7=0,$C$8+$C$9=1,$C$10=2),"ДА","НЕТ")</f>
        <v>НЕТ</v>
      </c>
      <c r="J15" s="332"/>
      <c r="K15" s="475">
        <f t="shared" si="0"/>
        <v>0</v>
      </c>
    </row>
    <row r="16" spans="1:11" ht="12" customHeight="1" thickBot="1">
      <c r="A16" s="405"/>
      <c r="B16" s="412" t="s">
        <v>398</v>
      </c>
      <c r="C16" s="463">
        <v>1</v>
      </c>
      <c r="D16" s="427" t="s">
        <v>287</v>
      </c>
      <c r="E16" s="719" t="s">
        <v>255</v>
      </c>
      <c r="F16" s="1253"/>
      <c r="G16" s="439"/>
      <c r="H16" s="439"/>
      <c r="I16" s="439"/>
      <c r="J16" s="439"/>
      <c r="K16" s="439"/>
    </row>
    <row r="17" spans="1:11" ht="12" customHeight="1">
      <c r="A17" s="405"/>
      <c r="B17" s="407" t="s">
        <v>147</v>
      </c>
      <c r="C17" s="464">
        <v>0</v>
      </c>
      <c r="D17" s="1242" t="s">
        <v>686</v>
      </c>
      <c r="E17" s="1243"/>
      <c r="F17" s="1244"/>
      <c r="G17" s="439"/>
      <c r="H17" s="439"/>
      <c r="I17" s="439"/>
      <c r="J17" s="439"/>
      <c r="K17" s="439"/>
    </row>
    <row r="18" spans="1:11" ht="12" customHeight="1" thickBot="1">
      <c r="A18" s="405"/>
      <c r="B18" s="412" t="s">
        <v>146</v>
      </c>
      <c r="C18" s="463">
        <v>0</v>
      </c>
      <c r="D18" s="1248" t="s">
        <v>687</v>
      </c>
      <c r="E18" s="1249"/>
      <c r="F18" s="1250"/>
      <c r="G18" s="439"/>
      <c r="H18" s="439"/>
      <c r="I18" s="439"/>
      <c r="J18" s="439"/>
      <c r="K18" s="439"/>
    </row>
    <row r="19" spans="1:11" ht="12" customHeight="1" thickBot="1">
      <c r="A19" s="405"/>
      <c r="B19" s="639"/>
      <c r="C19" s="639"/>
      <c r="D19" s="639"/>
      <c r="E19" s="639"/>
      <c r="F19" s="439"/>
      <c r="G19" s="439"/>
      <c r="H19" s="439"/>
      <c r="I19" s="439"/>
      <c r="J19" s="439"/>
      <c r="K19" s="439"/>
    </row>
    <row r="20" spans="1:11" ht="12" customHeight="1" thickBot="1">
      <c r="A20" s="405"/>
      <c r="B20" s="494" t="s">
        <v>5</v>
      </c>
      <c r="C20" s="495" t="s">
        <v>0</v>
      </c>
      <c r="D20" s="496" t="s">
        <v>4</v>
      </c>
      <c r="E20" s="497" t="s">
        <v>8</v>
      </c>
      <c r="F20" s="439"/>
      <c r="G20" s="439"/>
      <c r="H20" s="439"/>
      <c r="I20" s="439"/>
      <c r="J20" s="439"/>
      <c r="K20" s="439"/>
    </row>
    <row r="21" spans="1:11" ht="12" customHeight="1">
      <c r="A21" s="405"/>
      <c r="B21" s="451" t="s">
        <v>401</v>
      </c>
      <c r="C21" s="347">
        <f>C2*C13</f>
        <v>4</v>
      </c>
      <c r="D21" s="353"/>
      <c r="E21" s="344">
        <f t="shared" ref="E21:E26" si="1">C21*D21</f>
        <v>0</v>
      </c>
      <c r="F21" s="439"/>
      <c r="G21" s="439"/>
      <c r="H21" s="439"/>
      <c r="I21" s="439"/>
      <c r="J21" s="439"/>
      <c r="K21" s="439"/>
    </row>
    <row r="22" spans="1:11" ht="12" customHeight="1">
      <c r="A22" s="405"/>
      <c r="B22" s="451" t="s">
        <v>402</v>
      </c>
      <c r="C22" s="347">
        <f>IF(C16=1,C2*C13,0)</f>
        <v>4</v>
      </c>
      <c r="D22" s="353"/>
      <c r="E22" s="344">
        <f t="shared" si="1"/>
        <v>0</v>
      </c>
      <c r="F22" s="439"/>
      <c r="G22" s="439"/>
      <c r="H22" s="439"/>
      <c r="I22" s="439"/>
      <c r="J22" s="439"/>
      <c r="K22" s="439"/>
    </row>
    <row r="23" spans="1:11" ht="12" customHeight="1">
      <c r="A23" s="405"/>
      <c r="B23" s="449" t="s">
        <v>399</v>
      </c>
      <c r="C23" s="342">
        <f>IF(AND(C15=1,C16=0),(C4+C5)*C13*2,0)</f>
        <v>0</v>
      </c>
      <c r="D23" s="353"/>
      <c r="E23" s="344">
        <f t="shared" si="1"/>
        <v>0</v>
      </c>
      <c r="F23" s="439"/>
      <c r="G23" s="439"/>
      <c r="H23" s="439"/>
      <c r="I23" s="439"/>
      <c r="J23" s="439"/>
      <c r="K23" s="439"/>
    </row>
    <row r="24" spans="1:11" ht="12" customHeight="1">
      <c r="A24" s="405"/>
      <c r="B24" s="449" t="s">
        <v>400</v>
      </c>
      <c r="C24" s="342">
        <f>IF(AND(C15=0,C16=1),(C4+C5)*C13,0)</f>
        <v>4</v>
      </c>
      <c r="D24" s="353"/>
      <c r="E24" s="344">
        <f t="shared" si="1"/>
        <v>0</v>
      </c>
      <c r="F24" s="439"/>
      <c r="G24" s="439"/>
      <c r="H24" s="439"/>
      <c r="I24" s="439"/>
      <c r="J24" s="439"/>
      <c r="K24" s="439"/>
    </row>
    <row r="25" spans="1:11" ht="12" customHeight="1">
      <c r="A25" s="405"/>
      <c r="B25" s="451" t="s">
        <v>419</v>
      </c>
      <c r="C25" s="347">
        <f>EVEN(ROUNDDOWN(IF(C13&gt;0,(C2/0.5)*C13,0),0))</f>
        <v>8</v>
      </c>
      <c r="D25" s="348"/>
      <c r="E25" s="344">
        <f t="shared" si="1"/>
        <v>0</v>
      </c>
      <c r="F25" s="439"/>
      <c r="G25" s="439"/>
      <c r="H25" s="439"/>
      <c r="I25" s="439"/>
      <c r="J25" s="439"/>
      <c r="K25" s="439"/>
    </row>
    <row r="26" spans="1:11" ht="12" customHeight="1">
      <c r="A26" s="405"/>
      <c r="B26" s="449" t="s">
        <v>422</v>
      </c>
      <c r="C26" s="354">
        <f>C2*C13</f>
        <v>4</v>
      </c>
      <c r="D26" s="348"/>
      <c r="E26" s="344">
        <f t="shared" si="1"/>
        <v>0</v>
      </c>
      <c r="F26" s="439"/>
      <c r="G26" s="439"/>
      <c r="H26" s="439"/>
      <c r="I26" s="439"/>
      <c r="J26" s="439"/>
      <c r="K26" s="439"/>
    </row>
    <row r="27" spans="1:11" ht="12" customHeight="1">
      <c r="A27" s="405"/>
      <c r="B27" s="451" t="s">
        <v>420</v>
      </c>
      <c r="C27" s="347">
        <f>IF(AND(C6+C7&gt;0,C8+C9=0,C12=0),C13*2,0)</f>
        <v>4</v>
      </c>
      <c r="D27" s="353"/>
      <c r="E27" s="344">
        <f t="shared" ref="E27:E56" si="2">C27*D27</f>
        <v>0</v>
      </c>
      <c r="F27" s="439"/>
      <c r="G27" s="439"/>
      <c r="H27" s="439"/>
      <c r="I27" s="439"/>
      <c r="J27" s="439"/>
      <c r="K27" s="439"/>
    </row>
    <row r="28" spans="1:11" ht="12" customHeight="1">
      <c r="A28" s="405"/>
      <c r="B28" s="451" t="s">
        <v>421</v>
      </c>
      <c r="C28" s="350">
        <f>IF(AND(C6+C7&gt;0,C8+C9=0,C12=1),C13*2,0)</f>
        <v>0</v>
      </c>
      <c r="D28" s="398"/>
      <c r="E28" s="344">
        <f t="shared" si="2"/>
        <v>0</v>
      </c>
      <c r="F28" s="439"/>
      <c r="G28" s="439"/>
      <c r="H28" s="439"/>
      <c r="I28" s="439"/>
      <c r="J28" s="439"/>
      <c r="K28" s="439"/>
    </row>
    <row r="29" spans="1:11" ht="12" customHeight="1">
      <c r="A29" s="405"/>
      <c r="B29" s="451" t="s">
        <v>420</v>
      </c>
      <c r="C29" s="347">
        <f>IF(AND(C6+C7=0,C8+C9&gt;0,C12=0),C13,0)</f>
        <v>0</v>
      </c>
      <c r="D29" s="353"/>
      <c r="E29" s="344">
        <f t="shared" si="2"/>
        <v>0</v>
      </c>
      <c r="F29" s="439"/>
      <c r="G29" s="439"/>
      <c r="H29" s="439"/>
      <c r="I29" s="439"/>
      <c r="J29" s="439"/>
      <c r="K29" s="439"/>
    </row>
    <row r="30" spans="1:11" ht="12" customHeight="1">
      <c r="A30" s="405"/>
      <c r="B30" s="451" t="s">
        <v>421</v>
      </c>
      <c r="C30" s="350">
        <f>IF(AND(C6+C7=0,C8+C9&gt;0,C12=1),C13,0)</f>
        <v>0</v>
      </c>
      <c r="D30" s="398"/>
      <c r="E30" s="344">
        <f t="shared" si="2"/>
        <v>0</v>
      </c>
      <c r="F30" s="439"/>
      <c r="G30" s="439"/>
      <c r="H30" s="439"/>
      <c r="I30" s="439"/>
      <c r="J30" s="439"/>
      <c r="K30" s="439"/>
    </row>
    <row r="31" spans="1:11" ht="12" customHeight="1">
      <c r="A31" s="405"/>
      <c r="B31" s="451" t="s">
        <v>513</v>
      </c>
      <c r="C31" s="347">
        <f>IF(AND(C6+C7&gt;0,C8+C9=0,C12=0),(((C4+C5)-1)+C14)*C13,0)</f>
        <v>2</v>
      </c>
      <c r="D31" s="353"/>
      <c r="E31" s="344">
        <f t="shared" si="2"/>
        <v>0</v>
      </c>
      <c r="F31" s="439"/>
      <c r="G31" s="439"/>
      <c r="H31" s="439"/>
      <c r="I31" s="439"/>
      <c r="J31" s="439"/>
      <c r="K31" s="439"/>
    </row>
    <row r="32" spans="1:11" ht="12" customHeight="1">
      <c r="A32" s="405"/>
      <c r="B32" s="451" t="s">
        <v>512</v>
      </c>
      <c r="C32" s="350">
        <f>IF(AND(C6+C7&gt;0,C8+C9=0,C12=1),(((C4+C5)-1)+C14)*C13,0)</f>
        <v>0</v>
      </c>
      <c r="D32" s="398"/>
      <c r="E32" s="344">
        <f t="shared" si="2"/>
        <v>0</v>
      </c>
      <c r="F32" s="439"/>
      <c r="G32" s="439"/>
      <c r="H32" s="439"/>
      <c r="I32" s="439"/>
      <c r="J32" s="439"/>
      <c r="K32" s="439"/>
    </row>
    <row r="33" spans="1:11" ht="12" customHeight="1">
      <c r="A33" s="405"/>
      <c r="B33" s="451" t="s">
        <v>513</v>
      </c>
      <c r="C33" s="347">
        <f>IF(AND(C6+C7=0,C8+C9&gt;0,C12=0),((C4+C5)+C14)*C13,0)</f>
        <v>0</v>
      </c>
      <c r="D33" s="353"/>
      <c r="E33" s="344">
        <f t="shared" si="2"/>
        <v>0</v>
      </c>
      <c r="F33" s="439"/>
      <c r="G33" s="439"/>
      <c r="H33" s="439"/>
      <c r="I33" s="439"/>
      <c r="J33" s="439"/>
      <c r="K33" s="439"/>
    </row>
    <row r="34" spans="1:11" ht="12" customHeight="1">
      <c r="A34" s="405"/>
      <c r="B34" s="451" t="s">
        <v>512</v>
      </c>
      <c r="C34" s="350">
        <f>IF(AND(C6+C7=0,C8+C9&gt;0,C12=1),((C4+C5)+C14)*C13,0)</f>
        <v>0</v>
      </c>
      <c r="D34" s="398"/>
      <c r="E34" s="344">
        <f t="shared" si="2"/>
        <v>0</v>
      </c>
      <c r="F34" s="439"/>
      <c r="G34" s="439"/>
      <c r="H34" s="439"/>
      <c r="I34" s="439"/>
      <c r="J34" s="439"/>
      <c r="K34" s="439"/>
    </row>
    <row r="35" spans="1:11" ht="12" customHeight="1">
      <c r="A35" s="405"/>
      <c r="B35" s="449" t="s">
        <v>680</v>
      </c>
      <c r="C35" s="350">
        <f>C13*2</f>
        <v>4</v>
      </c>
      <c r="D35" s="398"/>
      <c r="E35" s="344">
        <f t="shared" si="2"/>
        <v>0</v>
      </c>
      <c r="F35" s="439"/>
      <c r="G35" s="439"/>
      <c r="H35" s="439"/>
      <c r="I35" s="439"/>
      <c r="J35" s="439"/>
      <c r="K35" s="439"/>
    </row>
    <row r="36" spans="1:11" ht="12" customHeight="1">
      <c r="A36" s="405"/>
      <c r="B36" s="451" t="s">
        <v>514</v>
      </c>
      <c r="C36" s="347">
        <f>((C4+C5)-1)*C13</f>
        <v>2</v>
      </c>
      <c r="D36" s="353"/>
      <c r="E36" s="344">
        <f t="shared" si="2"/>
        <v>0</v>
      </c>
      <c r="F36" s="439"/>
      <c r="G36" s="439"/>
      <c r="H36" s="439"/>
      <c r="I36" s="439"/>
      <c r="J36" s="439"/>
      <c r="K36" s="439"/>
    </row>
    <row r="37" spans="1:11" ht="12" customHeight="1">
      <c r="A37" s="405"/>
      <c r="B37" s="680" t="s">
        <v>424</v>
      </c>
      <c r="C37" s="399">
        <f>((C4+C5)+1+C14)*C13*2</f>
        <v>12</v>
      </c>
      <c r="D37" s="263"/>
      <c r="E37" s="273">
        <v>0</v>
      </c>
      <c r="F37" s="439"/>
      <c r="G37" s="439"/>
      <c r="H37" s="439"/>
      <c r="I37" s="439"/>
      <c r="J37" s="439"/>
      <c r="K37" s="439"/>
    </row>
    <row r="38" spans="1:11" ht="12" customHeight="1">
      <c r="A38" s="405"/>
      <c r="B38" s="452" t="s">
        <v>506</v>
      </c>
      <c r="C38" s="399">
        <f>((C4+C5)-1+C14)*C13</f>
        <v>2</v>
      </c>
      <c r="D38" s="353"/>
      <c r="E38" s="400">
        <f t="shared" si="2"/>
        <v>0</v>
      </c>
      <c r="F38" s="439"/>
      <c r="G38" s="439"/>
      <c r="H38" s="439"/>
      <c r="I38" s="439"/>
      <c r="J38" s="439"/>
      <c r="K38" s="439"/>
    </row>
    <row r="39" spans="1:11" ht="12" customHeight="1">
      <c r="A39" s="405"/>
      <c r="B39" s="452" t="s">
        <v>681</v>
      </c>
      <c r="C39" s="399">
        <f>((C4+C5)+1+C14)*C13</f>
        <v>6</v>
      </c>
      <c r="D39" s="353">
        <v>1</v>
      </c>
      <c r="E39" s="400">
        <f>C39*D39</f>
        <v>6</v>
      </c>
      <c r="F39" s="439"/>
      <c r="G39" s="439"/>
      <c r="H39" s="439"/>
      <c r="I39" s="439"/>
      <c r="J39" s="439"/>
      <c r="K39" s="439"/>
    </row>
    <row r="40" spans="1:11" ht="12" customHeight="1">
      <c r="A40" s="405"/>
      <c r="B40" s="452" t="s">
        <v>682</v>
      </c>
      <c r="C40" s="399">
        <f>((C4+C5)-1)*C13</f>
        <v>2</v>
      </c>
      <c r="D40" s="353"/>
      <c r="E40" s="400">
        <f>C40*D40</f>
        <v>0</v>
      </c>
      <c r="F40" s="439"/>
      <c r="G40" s="439"/>
      <c r="H40" s="439"/>
      <c r="I40" s="439"/>
      <c r="J40" s="439"/>
      <c r="K40" s="439"/>
    </row>
    <row r="41" spans="1:11" ht="12" customHeight="1">
      <c r="A41" s="405"/>
      <c r="B41" s="452" t="s">
        <v>515</v>
      </c>
      <c r="C41" s="399">
        <f>((C4+C5)-1+C14)*C13</f>
        <v>2</v>
      </c>
      <c r="D41" s="353"/>
      <c r="E41" s="400">
        <f t="shared" si="2"/>
        <v>0</v>
      </c>
      <c r="F41" s="439"/>
      <c r="G41" s="439"/>
      <c r="H41" s="439"/>
      <c r="I41" s="439"/>
      <c r="J41" s="439"/>
      <c r="K41" s="439"/>
    </row>
    <row r="42" spans="1:11" ht="12" customHeight="1">
      <c r="A42" s="405"/>
      <c r="B42" s="452" t="s">
        <v>508</v>
      </c>
      <c r="C42" s="399">
        <f>C14*C13</f>
        <v>0</v>
      </c>
      <c r="D42" s="353"/>
      <c r="E42" s="400">
        <f t="shared" si="2"/>
        <v>0</v>
      </c>
      <c r="F42" s="439"/>
      <c r="G42" s="439"/>
      <c r="H42" s="439"/>
      <c r="I42" s="439"/>
      <c r="J42" s="439"/>
      <c r="K42" s="439"/>
    </row>
    <row r="43" spans="1:11" ht="12" customHeight="1">
      <c r="A43" s="405"/>
      <c r="B43" s="451" t="s">
        <v>505</v>
      </c>
      <c r="C43" s="347">
        <f>((C4+C5)-1)*C13</f>
        <v>2</v>
      </c>
      <c r="D43" s="353"/>
      <c r="E43" s="344">
        <f t="shared" si="2"/>
        <v>0</v>
      </c>
      <c r="F43" s="439"/>
      <c r="G43" s="439"/>
      <c r="H43" s="439"/>
      <c r="I43" s="439"/>
      <c r="J43" s="439"/>
      <c r="K43" s="439"/>
    </row>
    <row r="44" spans="1:11" ht="12" customHeight="1">
      <c r="A44" s="405"/>
      <c r="B44" s="451" t="s">
        <v>432</v>
      </c>
      <c r="C44" s="342">
        <f>IF(C5=0,(C36+C43+C50),0)</f>
        <v>6</v>
      </c>
      <c r="D44" s="396"/>
      <c r="E44" s="344">
        <f t="shared" si="2"/>
        <v>0</v>
      </c>
      <c r="F44" s="439"/>
      <c r="G44" s="439"/>
      <c r="H44" s="439"/>
      <c r="I44" s="439"/>
      <c r="J44" s="439"/>
      <c r="K44" s="439"/>
    </row>
    <row r="45" spans="1:11" ht="12" customHeight="1">
      <c r="A45" s="405"/>
      <c r="B45" s="451" t="s">
        <v>433</v>
      </c>
      <c r="C45" s="347">
        <f>IF(C5=0,(C36+C43+C50),0)</f>
        <v>6</v>
      </c>
      <c r="D45" s="353"/>
      <c r="E45" s="344">
        <f t="shared" si="2"/>
        <v>0</v>
      </c>
      <c r="F45" s="439"/>
      <c r="G45" s="439"/>
      <c r="H45" s="439"/>
      <c r="I45" s="439"/>
      <c r="J45" s="439"/>
      <c r="K45" s="439"/>
    </row>
    <row r="46" spans="1:11" ht="12" customHeight="1">
      <c r="A46" s="405"/>
      <c r="B46" s="451" t="s">
        <v>434</v>
      </c>
      <c r="C46" s="347">
        <f>IF(C4=0,(C36+C43+C50)*C13,0)</f>
        <v>0</v>
      </c>
      <c r="D46" s="353"/>
      <c r="E46" s="344">
        <f t="shared" si="2"/>
        <v>0</v>
      </c>
      <c r="F46" s="439"/>
      <c r="G46" s="439"/>
      <c r="H46" s="439"/>
      <c r="I46" s="439"/>
      <c r="J46" s="439"/>
      <c r="K46" s="439"/>
    </row>
    <row r="47" spans="1:11" ht="12" customHeight="1">
      <c r="A47" s="405"/>
      <c r="B47" s="449" t="s">
        <v>474</v>
      </c>
      <c r="C47" s="347">
        <f>C2*C13*2</f>
        <v>8</v>
      </c>
      <c r="D47" s="353"/>
      <c r="E47" s="344">
        <f t="shared" si="2"/>
        <v>0</v>
      </c>
      <c r="F47" s="439"/>
      <c r="G47" s="439"/>
      <c r="H47" s="439"/>
      <c r="I47" s="439"/>
      <c r="J47" s="439"/>
      <c r="K47" s="439"/>
    </row>
    <row r="48" spans="1:11" ht="12" customHeight="1">
      <c r="A48" s="405"/>
      <c r="B48" s="449" t="s">
        <v>461</v>
      </c>
      <c r="C48" s="354">
        <f>IF(AND(C4&gt;0,C5=0),C2*C13,0)</f>
        <v>4</v>
      </c>
      <c r="D48" s="353"/>
      <c r="E48" s="344">
        <f t="shared" si="2"/>
        <v>0</v>
      </c>
      <c r="F48" s="439"/>
      <c r="G48" s="439"/>
      <c r="H48" s="439"/>
      <c r="I48" s="439"/>
      <c r="J48" s="439"/>
      <c r="K48" s="439"/>
    </row>
    <row r="49" spans="1:11" ht="12" customHeight="1">
      <c r="A49" s="405"/>
      <c r="B49" s="449" t="s">
        <v>462</v>
      </c>
      <c r="C49" s="354">
        <f>IF(AND(C5&gt;0,C4=0),C2*C13,0)</f>
        <v>0</v>
      </c>
      <c r="D49" s="353"/>
      <c r="E49" s="344">
        <f t="shared" si="2"/>
        <v>0</v>
      </c>
      <c r="F49" s="439"/>
      <c r="G49" s="439"/>
      <c r="H49" s="439"/>
      <c r="I49" s="439"/>
      <c r="J49" s="439"/>
      <c r="K49" s="439"/>
    </row>
    <row r="50" spans="1:11" ht="12" customHeight="1">
      <c r="A50" s="405"/>
      <c r="B50" s="451" t="s">
        <v>423</v>
      </c>
      <c r="C50" s="354">
        <f>C13</f>
        <v>2</v>
      </c>
      <c r="D50" s="353"/>
      <c r="E50" s="344">
        <f t="shared" si="2"/>
        <v>0</v>
      </c>
      <c r="F50" s="439"/>
      <c r="G50" s="439"/>
      <c r="H50" s="439"/>
      <c r="I50" s="439"/>
      <c r="J50" s="439"/>
      <c r="K50" s="439"/>
    </row>
    <row r="51" spans="1:11" ht="12" customHeight="1">
      <c r="A51" s="405"/>
      <c r="B51" s="452" t="s">
        <v>378</v>
      </c>
      <c r="C51" s="354">
        <f>C6*C13</f>
        <v>2</v>
      </c>
      <c r="D51" s="353"/>
      <c r="E51" s="344">
        <f t="shared" si="2"/>
        <v>0</v>
      </c>
      <c r="F51" s="439"/>
      <c r="G51" s="439"/>
      <c r="H51" s="439"/>
      <c r="I51" s="439"/>
      <c r="J51" s="439"/>
      <c r="K51" s="439"/>
    </row>
    <row r="52" spans="1:11" ht="12" customHeight="1">
      <c r="A52" s="405"/>
      <c r="B52" s="452" t="s">
        <v>598</v>
      </c>
      <c r="C52" s="354">
        <f>C8*C13</f>
        <v>0</v>
      </c>
      <c r="D52" s="353"/>
      <c r="E52" s="344">
        <f t="shared" si="2"/>
        <v>0</v>
      </c>
      <c r="F52" s="439"/>
      <c r="G52" s="439"/>
      <c r="H52" s="439"/>
      <c r="I52" s="439"/>
      <c r="J52" s="439"/>
      <c r="K52" s="439"/>
    </row>
    <row r="53" spans="1:11" ht="12" customHeight="1">
      <c r="A53" s="405"/>
      <c r="B53" s="452" t="s">
        <v>436</v>
      </c>
      <c r="C53" s="354">
        <f>C7*C13</f>
        <v>0</v>
      </c>
      <c r="D53" s="353"/>
      <c r="E53" s="344">
        <f t="shared" si="2"/>
        <v>0</v>
      </c>
      <c r="F53" s="439"/>
      <c r="G53" s="439"/>
      <c r="H53" s="439"/>
      <c r="I53" s="439"/>
      <c r="J53" s="439"/>
      <c r="K53" s="439"/>
    </row>
    <row r="54" spans="1:11" ht="12" customHeight="1">
      <c r="A54" s="405"/>
      <c r="B54" s="525" t="s">
        <v>145</v>
      </c>
      <c r="C54" s="506">
        <f>C18</f>
        <v>0</v>
      </c>
      <c r="D54" s="522"/>
      <c r="E54" s="400">
        <f t="shared" si="2"/>
        <v>0</v>
      </c>
      <c r="F54" s="439"/>
      <c r="G54" s="439"/>
      <c r="H54" s="439"/>
      <c r="I54" s="439"/>
      <c r="J54" s="439"/>
      <c r="K54" s="439"/>
    </row>
    <row r="55" spans="1:11" ht="12" customHeight="1">
      <c r="A55" s="405"/>
      <c r="B55" s="525" t="s">
        <v>148</v>
      </c>
      <c r="C55" s="506">
        <f>C17</f>
        <v>0</v>
      </c>
      <c r="D55" s="522"/>
      <c r="E55" s="400">
        <f t="shared" si="2"/>
        <v>0</v>
      </c>
      <c r="F55" s="439"/>
      <c r="G55" s="439"/>
      <c r="H55" s="439"/>
      <c r="I55" s="439"/>
      <c r="J55" s="439"/>
      <c r="K55" s="439"/>
    </row>
    <row r="56" spans="1:11" ht="12" customHeight="1" thickBot="1">
      <c r="A56" s="405"/>
      <c r="B56" s="454" t="s">
        <v>599</v>
      </c>
      <c r="C56" s="402">
        <f>C9*C13</f>
        <v>0</v>
      </c>
      <c r="D56" s="473"/>
      <c r="E56" s="404">
        <f t="shared" si="2"/>
        <v>0</v>
      </c>
      <c r="F56" s="439"/>
      <c r="G56" s="439"/>
      <c r="H56" s="439"/>
      <c r="I56" s="439"/>
      <c r="J56" s="439"/>
      <c r="K56" s="439"/>
    </row>
    <row r="57" spans="1:11" ht="12" customHeight="1" thickBot="1">
      <c r="A57" s="405"/>
      <c r="B57" s="439"/>
      <c r="C57" s="439"/>
      <c r="D57" s="455" t="s">
        <v>9</v>
      </c>
      <c r="E57" s="527">
        <f>SUMIF(E21:E56,"&gt;0",E21:E56)</f>
        <v>6</v>
      </c>
      <c r="F57" s="439"/>
      <c r="G57" s="439"/>
      <c r="H57" s="439"/>
      <c r="I57" s="439"/>
      <c r="J57" s="439"/>
      <c r="K57" s="439"/>
    </row>
    <row r="58" spans="1:11">
      <c r="A58" s="405"/>
      <c r="B58" s="439"/>
      <c r="C58" s="439"/>
      <c r="D58" s="439"/>
      <c r="E58" s="439"/>
      <c r="F58" s="439"/>
      <c r="G58" s="439"/>
      <c r="H58" s="439"/>
      <c r="I58" s="439"/>
      <c r="J58" s="439"/>
      <c r="K58" s="439"/>
    </row>
    <row r="59" spans="1:11">
      <c r="A59" s="405"/>
      <c r="B59" s="405"/>
      <c r="C59" s="405"/>
      <c r="D59" s="405"/>
      <c r="E59" s="405"/>
      <c r="F59" s="405"/>
      <c r="G59" s="405"/>
      <c r="H59" s="405"/>
      <c r="I59" s="405"/>
      <c r="J59" s="405"/>
      <c r="K59" s="405"/>
    </row>
    <row r="60" spans="1:11" ht="11.25" customHeight="1">
      <c r="A60" s="405"/>
      <c r="B60" s="405"/>
      <c r="C60" s="405"/>
      <c r="D60" s="405"/>
      <c r="E60" s="405"/>
      <c r="F60" s="405"/>
      <c r="G60" s="405"/>
      <c r="H60" s="405"/>
      <c r="I60" s="405"/>
      <c r="J60" s="405"/>
      <c r="K60" s="405"/>
    </row>
    <row r="61" spans="1:11">
      <c r="A61" s="405"/>
      <c r="B61" s="405"/>
      <c r="C61" s="405"/>
      <c r="D61" s="405"/>
      <c r="E61" s="405"/>
      <c r="F61" s="405"/>
      <c r="G61" s="405"/>
      <c r="H61" s="405"/>
      <c r="I61" s="405"/>
      <c r="J61" s="405"/>
      <c r="K61" s="405"/>
    </row>
    <row r="62" spans="1:11">
      <c r="A62" s="405"/>
      <c r="B62" s="405"/>
      <c r="C62" s="405"/>
      <c r="D62" s="405"/>
      <c r="E62" s="405"/>
      <c r="F62" s="405"/>
      <c r="G62" s="405"/>
      <c r="H62" s="405"/>
      <c r="I62" s="405"/>
      <c r="J62" s="405"/>
      <c r="K62" s="405"/>
    </row>
    <row r="63" spans="1:11">
      <c r="A63" s="405"/>
      <c r="B63" s="405"/>
      <c r="C63" s="405"/>
      <c r="D63" s="405"/>
      <c r="E63" s="405"/>
      <c r="F63" s="405"/>
      <c r="G63" s="405"/>
      <c r="H63" s="405"/>
      <c r="I63" s="405"/>
      <c r="J63" s="405"/>
      <c r="K63" s="405"/>
    </row>
    <row r="65" ht="11.25" customHeight="1"/>
  </sheetData>
  <sheetProtection algorithmName="SHA-512" hashValue="OR4GLRp3HTz+Thu8dyxvR4VlZehw1W4KwMaNbZVu//AHMWEuwKuzYkiwAKgK2YPQSki/mjmE5VHN7Lhl3rSedw==" saltValue="2FgM6JuR+SRN2hFur/qm0Q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330" priority="43" operator="greaterThan">
      <formula>0</formula>
    </cfRule>
  </conditionalFormatting>
  <conditionalFormatting sqref="C2:C3">
    <cfRule type="cellIs" dxfId="329" priority="45" operator="greaterThan">
      <formula>0</formula>
    </cfRule>
  </conditionalFormatting>
  <conditionalFormatting sqref="C2:C3">
    <cfRule type="cellIs" dxfId="328" priority="44" operator="greaterThan">
      <formula>0</formula>
    </cfRule>
  </conditionalFormatting>
  <conditionalFormatting sqref="C10">
    <cfRule type="cellIs" dxfId="327" priority="42" operator="greaterThan">
      <formula>0</formula>
    </cfRule>
  </conditionalFormatting>
  <conditionalFormatting sqref="C10">
    <cfRule type="cellIs" dxfId="326" priority="41" operator="greaterThan">
      <formula>0</formula>
    </cfRule>
  </conditionalFormatting>
  <conditionalFormatting sqref="C10">
    <cfRule type="cellIs" dxfId="325" priority="40" operator="greaterThan">
      <formula>0</formula>
    </cfRule>
  </conditionalFormatting>
  <conditionalFormatting sqref="C10">
    <cfRule type="cellIs" dxfId="324" priority="39" operator="greaterThan">
      <formula>0</formula>
    </cfRule>
  </conditionalFormatting>
  <conditionalFormatting sqref="J3:J15">
    <cfRule type="cellIs" dxfId="323" priority="16" operator="greaterThan">
      <formula>0</formula>
    </cfRule>
    <cfRule type="cellIs" dxfId="322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321" priority="33" operator="equal">
      <formula>"ДА"</formula>
    </cfRule>
    <cfRule type="cellIs" dxfId="32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19" priority="30" operator="equal">
      <formula>"ДА"</formula>
    </cfRule>
    <cfRule type="cellIs" dxfId="318" priority="31" operator="equal">
      <formula>"НЕТ"</formula>
    </cfRule>
  </conditionalFormatting>
  <conditionalFormatting sqref="I5">
    <cfRule type="cellIs" dxfId="317" priority="27" operator="equal">
      <formula>"ДА"</formula>
    </cfRule>
    <cfRule type="cellIs" dxfId="31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15" priority="23" operator="equal">
      <formula>"ДА"</formula>
    </cfRule>
    <cfRule type="cellIs" dxfId="31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13" priority="19" operator="equal">
      <formula>"ДА"</formula>
    </cfRule>
    <cfRule type="cellIs" dxfId="31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311" priority="18" operator="greaterThan">
      <formula>0</formula>
    </cfRule>
  </conditionalFormatting>
  <conditionalFormatting sqref="C2:C16">
    <cfRule type="cellIs" dxfId="310" priority="15" operator="greaterThan">
      <formula>0</formula>
    </cfRule>
  </conditionalFormatting>
  <conditionalFormatting sqref="C38:E38 C41:E53 C56:E56">
    <cfRule type="cellIs" dxfId="309" priority="14" operator="greaterThan">
      <formula>0</formula>
    </cfRule>
  </conditionalFormatting>
  <conditionalFormatting sqref="E57">
    <cfRule type="cellIs" dxfId="308" priority="13" operator="greaterThan">
      <formula>0</formula>
    </cfRule>
  </conditionalFormatting>
  <conditionalFormatting sqref="J3:K15">
    <cfRule type="cellIs" dxfId="307" priority="12" operator="greaterThan">
      <formula>0</formula>
    </cfRule>
  </conditionalFormatting>
  <conditionalFormatting sqref="C21:C36">
    <cfRule type="cellIs" dxfId="306" priority="11" operator="greaterThan">
      <formula>4</formula>
    </cfRule>
  </conditionalFormatting>
  <conditionalFormatting sqref="C41:C53 C38 C56">
    <cfRule type="cellIs" dxfId="305" priority="10" operator="greaterThan">
      <formula>0</formula>
    </cfRule>
  </conditionalFormatting>
  <conditionalFormatting sqref="C39">
    <cfRule type="cellIs" dxfId="304" priority="8" operator="greaterThan">
      <formula>0</formula>
    </cfRule>
  </conditionalFormatting>
  <conditionalFormatting sqref="C40">
    <cfRule type="cellIs" dxfId="303" priority="6" operator="greaterThan">
      <formula>0</formula>
    </cfRule>
  </conditionalFormatting>
  <conditionalFormatting sqref="C39:E39">
    <cfRule type="cellIs" dxfId="302" priority="9" operator="greaterThan">
      <formula>0</formula>
    </cfRule>
  </conditionalFormatting>
  <conditionalFormatting sqref="C37">
    <cfRule type="cellIs" dxfId="301" priority="3" operator="greaterThan">
      <formula>0</formula>
    </cfRule>
  </conditionalFormatting>
  <conditionalFormatting sqref="C40:E40">
    <cfRule type="cellIs" dxfId="300" priority="7" operator="greaterThan">
      <formula>0</formula>
    </cfRule>
  </conditionalFormatting>
  <conditionalFormatting sqref="D37:E37">
    <cfRule type="cellIs" dxfId="299" priority="5" operator="greaterThan">
      <formula>0</formula>
    </cfRule>
  </conditionalFormatting>
  <conditionalFormatting sqref="C37">
    <cfRule type="cellIs" dxfId="298" priority="4" operator="greaterThan">
      <formula>0</formula>
    </cfRule>
  </conditionalFormatting>
  <conditionalFormatting sqref="C17:C18">
    <cfRule type="cellIs" dxfId="297" priority="2" operator="greaterThan">
      <formula>0</formula>
    </cfRule>
  </conditionalFormatting>
  <conditionalFormatting sqref="C54:E55">
    <cfRule type="cellIs" dxfId="296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05"/>
      <c r="B1" s="1309"/>
      <c r="C1" s="1309"/>
      <c r="D1" s="1309"/>
      <c r="E1" s="1309"/>
      <c r="F1" s="405"/>
      <c r="G1" s="405"/>
      <c r="H1" s="405"/>
      <c r="I1" s="405"/>
      <c r="J1" s="405"/>
      <c r="K1" s="405"/>
      <c r="L1" s="405"/>
    </row>
    <row r="2" spans="1:12" ht="12" customHeight="1" thickBot="1">
      <c r="A2" s="405"/>
      <c r="B2" s="407" t="s">
        <v>551</v>
      </c>
      <c r="C2" s="458">
        <v>0</v>
      </c>
      <c r="D2" s="1231" t="s">
        <v>595</v>
      </c>
      <c r="E2" s="1232"/>
      <c r="F2" s="1233"/>
      <c r="G2" s="439"/>
      <c r="H2" s="409" t="s">
        <v>485</v>
      </c>
      <c r="I2" s="688" t="s">
        <v>604</v>
      </c>
      <c r="J2" s="410" t="s">
        <v>4</v>
      </c>
      <c r="K2" s="411" t="s">
        <v>8</v>
      </c>
      <c r="L2" s="405"/>
    </row>
    <row r="3" spans="1:12" ht="12" customHeight="1">
      <c r="A3" s="405"/>
      <c r="B3" s="417" t="s">
        <v>552</v>
      </c>
      <c r="C3" s="551">
        <v>0</v>
      </c>
      <c r="D3" s="1251"/>
      <c r="E3" s="1237"/>
      <c r="F3" s="1238"/>
      <c r="G3" s="697"/>
      <c r="H3" s="413" t="s">
        <v>489</v>
      </c>
      <c r="I3" s="623" t="str">
        <f>IF(AND($C$12+$C$13+$C$14=1,$C$15+$C$16+$C$17=0,C18=1),"ДА","НЕТ")</f>
        <v>НЕТ</v>
      </c>
      <c r="J3" s="610"/>
      <c r="K3" s="319">
        <f>IF(I3="ДА",$C$18*J3,0)</f>
        <v>0</v>
      </c>
      <c r="L3" s="405"/>
    </row>
    <row r="4" spans="1:12" ht="12" customHeight="1">
      <c r="A4" s="405"/>
      <c r="B4" s="419" t="s">
        <v>553</v>
      </c>
      <c r="C4" s="616">
        <v>0</v>
      </c>
      <c r="D4" s="1251"/>
      <c r="E4" s="1237"/>
      <c r="F4" s="1238"/>
      <c r="G4" s="439"/>
      <c r="H4" s="418" t="s">
        <v>486</v>
      </c>
      <c r="I4" s="624" t="str">
        <f>IF(AND($C$12+$C$13+$C$14=1,$C$15+$C$16+$C$17=0,C18=3),"ДА","НЕТ")</f>
        <v>НЕТ</v>
      </c>
      <c r="J4" s="611"/>
      <c r="K4" s="323">
        <f t="shared" ref="K4:K19" si="0">IF(I4="ДА",$C$18*J4,0)</f>
        <v>0</v>
      </c>
      <c r="L4" s="405"/>
    </row>
    <row r="5" spans="1:12" ht="12" customHeight="1" thickBot="1">
      <c r="A5" s="405"/>
      <c r="B5" s="412" t="s">
        <v>554</v>
      </c>
      <c r="C5" s="459">
        <v>0</v>
      </c>
      <c r="D5" s="1234"/>
      <c r="E5" s="1235"/>
      <c r="F5" s="1236"/>
      <c r="G5" s="697"/>
      <c r="H5" s="418" t="s">
        <v>591</v>
      </c>
      <c r="I5" s="624" t="str">
        <f>IF(AND($C$12+$C$13+$C$14=1,$C$15+$C$16+$C$17=0,C18=3),"ДА","НЕТ")</f>
        <v>НЕТ</v>
      </c>
      <c r="J5" s="611"/>
      <c r="K5" s="323">
        <f t="shared" si="0"/>
        <v>0</v>
      </c>
      <c r="L5" s="405"/>
    </row>
    <row r="6" spans="1:12" ht="12" customHeight="1">
      <c r="A6" s="405"/>
      <c r="B6" s="407" t="s">
        <v>413</v>
      </c>
      <c r="C6" s="607">
        <v>0</v>
      </c>
      <c r="D6" s="1231" t="s">
        <v>597</v>
      </c>
      <c r="E6" s="1232"/>
      <c r="F6" s="1233"/>
      <c r="G6" s="439"/>
      <c r="H6" s="418" t="s">
        <v>487</v>
      </c>
      <c r="I6" s="624" t="str">
        <f>IF(AND($C$12+$C$13+$C$14=1,$C$15+$C$16+$C$17=0,C18=2),"ДА","НЕТ")</f>
        <v>НЕТ</v>
      </c>
      <c r="J6" s="611"/>
      <c r="K6" s="323">
        <f t="shared" si="0"/>
        <v>0</v>
      </c>
      <c r="L6" s="405"/>
    </row>
    <row r="7" spans="1:12" ht="12" customHeight="1">
      <c r="A7" s="405"/>
      <c r="B7" s="417" t="s">
        <v>414</v>
      </c>
      <c r="C7" s="617">
        <v>0</v>
      </c>
      <c r="D7" s="1251"/>
      <c r="E7" s="1237"/>
      <c r="F7" s="1238"/>
      <c r="G7" s="439"/>
      <c r="H7" s="418" t="s">
        <v>488</v>
      </c>
      <c r="I7" s="624" t="str">
        <f>IF(AND($C$12+$C$13+$C$14=1,$C$15+$C$16+$C$17=0,C18=2),"ДА","НЕТ")</f>
        <v>НЕТ</v>
      </c>
      <c r="J7" s="611"/>
      <c r="K7" s="323">
        <f t="shared" si="0"/>
        <v>0</v>
      </c>
      <c r="L7" s="405"/>
    </row>
    <row r="8" spans="1:12" ht="12" customHeight="1">
      <c r="A8" s="405"/>
      <c r="B8" s="417" t="s">
        <v>586</v>
      </c>
      <c r="C8" s="617">
        <v>0</v>
      </c>
      <c r="D8" s="1251"/>
      <c r="E8" s="1237"/>
      <c r="F8" s="1238"/>
      <c r="G8" s="439"/>
      <c r="H8" s="418" t="s">
        <v>494</v>
      </c>
      <c r="I8" s="624" t="str">
        <f>IF(AND($C$12+$C$13+$C$14=1,$C$15+$C$16+$C$17=0,C18=2),"ДА","НЕТ")</f>
        <v>НЕТ</v>
      </c>
      <c r="J8" s="611"/>
      <c r="K8" s="323">
        <f t="shared" si="0"/>
        <v>0</v>
      </c>
      <c r="L8" s="405"/>
    </row>
    <row r="9" spans="1:12" ht="12" customHeight="1">
      <c r="A9" s="405"/>
      <c r="B9" s="419" t="s">
        <v>415</v>
      </c>
      <c r="C9" s="549">
        <v>0</v>
      </c>
      <c r="D9" s="1251"/>
      <c r="E9" s="1237"/>
      <c r="F9" s="1238"/>
      <c r="G9" s="439"/>
      <c r="H9" s="413" t="s">
        <v>590</v>
      </c>
      <c r="I9" s="624" t="str">
        <f>IF(AND($C$12+$C$13+$C$14=1,$C$15+$C$16+$C$17=0,C18=1),"ДА","НЕТ")</f>
        <v>НЕТ</v>
      </c>
      <c r="J9" s="610"/>
      <c r="K9" s="319">
        <f t="shared" si="0"/>
        <v>0</v>
      </c>
      <c r="L9" s="405"/>
    </row>
    <row r="10" spans="1:12" ht="12" customHeight="1">
      <c r="A10" s="405"/>
      <c r="B10" s="417" t="s">
        <v>416</v>
      </c>
      <c r="C10" s="617">
        <v>0</v>
      </c>
      <c r="D10" s="1251"/>
      <c r="E10" s="1237"/>
      <c r="F10" s="1238"/>
      <c r="G10" s="439"/>
      <c r="H10" s="413" t="s">
        <v>383</v>
      </c>
      <c r="I10" s="624" t="str">
        <f>IF(AND($C$12+$C$13+$C$14+$C$17=0,$C$15+$C$16=1,$C$18=1),"ДА","НЕТ")</f>
        <v>НЕТ</v>
      </c>
      <c r="J10" s="612"/>
      <c r="K10" s="326">
        <f t="shared" si="0"/>
        <v>0</v>
      </c>
      <c r="L10" s="405"/>
    </row>
    <row r="11" spans="1:12" ht="12" customHeight="1" thickBot="1">
      <c r="A11" s="405"/>
      <c r="B11" s="440" t="s">
        <v>585</v>
      </c>
      <c r="C11" s="550">
        <v>0</v>
      </c>
      <c r="D11" s="1234"/>
      <c r="E11" s="1235"/>
      <c r="F11" s="1236"/>
      <c r="G11" s="439"/>
      <c r="H11" s="416" t="s">
        <v>384</v>
      </c>
      <c r="I11" s="624" t="str">
        <f>IF(AND($C$12+$C$13+$C$14+$C$17=0,$C$15+$C$16=1,$C$18=1),"ДА","НЕТ")</f>
        <v>НЕТ</v>
      </c>
      <c r="J11" s="612"/>
      <c r="K11" s="326">
        <f t="shared" si="0"/>
        <v>0</v>
      </c>
      <c r="L11" s="405"/>
    </row>
    <row r="12" spans="1:12" ht="12" customHeight="1">
      <c r="A12" s="405"/>
      <c r="B12" s="419" t="s">
        <v>498</v>
      </c>
      <c r="C12" s="462">
        <v>0</v>
      </c>
      <c r="D12" s="422" t="s">
        <v>287</v>
      </c>
      <c r="E12" s="423" t="s">
        <v>255</v>
      </c>
      <c r="F12" s="1240" t="s">
        <v>597</v>
      </c>
      <c r="G12" s="439"/>
      <c r="H12" s="416" t="s">
        <v>385</v>
      </c>
      <c r="I12" s="624" t="str">
        <f>IF(AND($C$12+$C$13+$C$14+$C$17=0,$C$15+$C$16=1,$C$18=1),"ДА","НЕТ")</f>
        <v>НЕТ</v>
      </c>
      <c r="J12" s="613"/>
      <c r="K12" s="326">
        <f t="shared" si="0"/>
        <v>0</v>
      </c>
      <c r="L12" s="405"/>
    </row>
    <row r="13" spans="1:12" ht="12" customHeight="1">
      <c r="A13" s="405"/>
      <c r="B13" s="417" t="s">
        <v>499</v>
      </c>
      <c r="C13" s="461">
        <v>0</v>
      </c>
      <c r="D13" s="424" t="s">
        <v>287</v>
      </c>
      <c r="E13" s="425" t="s">
        <v>255</v>
      </c>
      <c r="F13" s="1240"/>
      <c r="G13" s="439"/>
      <c r="H13" s="416" t="s">
        <v>592</v>
      </c>
      <c r="I13" s="624" t="str">
        <f>IF(AND($C$12+$C$13+C14+$C$15+$C$16=0,$C$17=1,$C$18=1),"ДА","НЕТ")</f>
        <v>НЕТ</v>
      </c>
      <c r="J13" s="613"/>
      <c r="K13" s="326">
        <f t="shared" si="0"/>
        <v>0</v>
      </c>
      <c r="L13" s="405"/>
    </row>
    <row r="14" spans="1:12" ht="12" customHeight="1">
      <c r="A14" s="405"/>
      <c r="B14" s="417" t="s">
        <v>587</v>
      </c>
      <c r="C14" s="461">
        <v>0</v>
      </c>
      <c r="D14" s="424" t="s">
        <v>287</v>
      </c>
      <c r="E14" s="424" t="s">
        <v>255</v>
      </c>
      <c r="F14" s="1240"/>
      <c r="G14" s="439"/>
      <c r="H14" s="416" t="s">
        <v>592</v>
      </c>
      <c r="I14" s="624" t="str">
        <f>IF(AND($C$12+$C$13+C14+$C$15+$C$16=0,$C$17=1,$C$18=1),"ДА","НЕТ")</f>
        <v>НЕТ</v>
      </c>
      <c r="J14" s="613"/>
      <c r="K14" s="326">
        <f t="shared" si="0"/>
        <v>0</v>
      </c>
      <c r="L14" s="405"/>
    </row>
    <row r="15" spans="1:12" ht="12" customHeight="1">
      <c r="A15" s="405"/>
      <c r="B15" s="419" t="s">
        <v>500</v>
      </c>
      <c r="C15" s="462">
        <v>0</v>
      </c>
      <c r="D15" s="422" t="s">
        <v>287</v>
      </c>
      <c r="E15" s="423" t="s">
        <v>255</v>
      </c>
      <c r="F15" s="1240"/>
      <c r="G15" s="439"/>
      <c r="H15" s="413" t="s">
        <v>388</v>
      </c>
      <c r="I15" s="624" t="str">
        <f>IF(AND($C$12+$C$13+$C$14+$C$17=0,$C$15+$C$16=1,$C$18=2),"ДА","НЕТ")</f>
        <v>НЕТ</v>
      </c>
      <c r="J15" s="612"/>
      <c r="K15" s="326">
        <f t="shared" si="0"/>
        <v>0</v>
      </c>
      <c r="L15" s="405"/>
    </row>
    <row r="16" spans="1:12" ht="12" customHeight="1">
      <c r="A16" s="405"/>
      <c r="B16" s="417" t="s">
        <v>501</v>
      </c>
      <c r="C16" s="461">
        <v>0</v>
      </c>
      <c r="D16" s="424" t="s">
        <v>287</v>
      </c>
      <c r="E16" s="425" t="s">
        <v>255</v>
      </c>
      <c r="F16" s="1240"/>
      <c r="G16" s="439"/>
      <c r="H16" s="416" t="s">
        <v>389</v>
      </c>
      <c r="I16" s="624" t="str">
        <f>IF(AND($C$12+$C$13+$C$14+$C$17=0,$C$15+$C$16=1,$C$18=2),"ДА","НЕТ")</f>
        <v>НЕТ</v>
      </c>
      <c r="J16" s="612"/>
      <c r="K16" s="326">
        <f t="shared" si="0"/>
        <v>0</v>
      </c>
      <c r="L16" s="405"/>
    </row>
    <row r="17" spans="1:12" ht="12" customHeight="1" thickBot="1">
      <c r="A17" s="405"/>
      <c r="B17" s="514" t="s">
        <v>588</v>
      </c>
      <c r="C17" s="513">
        <v>0</v>
      </c>
      <c r="D17" s="626" t="s">
        <v>287</v>
      </c>
      <c r="E17" s="516" t="s">
        <v>255</v>
      </c>
      <c r="F17" s="1240"/>
      <c r="G17" s="439"/>
      <c r="H17" s="416" t="s">
        <v>390</v>
      </c>
      <c r="I17" s="624" t="str">
        <f>IF(AND($C$12+$C$13+$C$14+$C$17=0,$C$15+$C$16=1,$C$18=2),"ДА","НЕТ")</f>
        <v>НЕТ</v>
      </c>
      <c r="J17" s="612"/>
      <c r="K17" s="323">
        <f t="shared" si="0"/>
        <v>0</v>
      </c>
      <c r="L17" s="405"/>
    </row>
    <row r="18" spans="1:12" ht="12" customHeight="1" thickBot="1">
      <c r="A18" s="405"/>
      <c r="B18" s="429" t="s">
        <v>589</v>
      </c>
      <c r="C18" s="548">
        <v>0</v>
      </c>
      <c r="D18" s="433" t="s">
        <v>619</v>
      </c>
      <c r="E18" s="434" t="s">
        <v>620</v>
      </c>
      <c r="F18" s="436" t="s">
        <v>621</v>
      </c>
      <c r="G18" s="439"/>
      <c r="H18" s="413" t="s">
        <v>593</v>
      </c>
      <c r="I18" s="623" t="str">
        <f>IF(AND($C$12+$C$13+C14+$C$15+$C$16=0,$C$17=1,$C$18=2),"ДА","НЕТ")</f>
        <v>НЕТ</v>
      </c>
      <c r="J18" s="614"/>
      <c r="K18" s="330">
        <f t="shared" si="0"/>
        <v>0</v>
      </c>
      <c r="L18" s="405"/>
    </row>
    <row r="19" spans="1:12" ht="12" customHeight="1" thickBot="1">
      <c r="A19" s="405"/>
      <c r="B19" s="419" t="s">
        <v>361</v>
      </c>
      <c r="C19" s="462">
        <v>0</v>
      </c>
      <c r="D19" s="422" t="s">
        <v>287</v>
      </c>
      <c r="E19" s="423" t="s">
        <v>255</v>
      </c>
      <c r="F19" s="1240" t="s">
        <v>597</v>
      </c>
      <c r="G19" s="439"/>
      <c r="H19" s="437" t="s">
        <v>594</v>
      </c>
      <c r="I19" s="634" t="str">
        <f>IF(AND($C$12+$C$13+C14+$C$15+$C$16=0,$C$17=1,$C$18=2),"ДА","НЕТ")</f>
        <v>НЕТ</v>
      </c>
      <c r="J19" s="615"/>
      <c r="K19" s="333">
        <f t="shared" si="0"/>
        <v>0</v>
      </c>
      <c r="L19" s="405"/>
    </row>
    <row r="20" spans="1:12" ht="12" customHeight="1">
      <c r="A20" s="405"/>
      <c r="B20" s="419" t="s">
        <v>466</v>
      </c>
      <c r="C20" s="462">
        <v>0</v>
      </c>
      <c r="D20" s="422" t="s">
        <v>287</v>
      </c>
      <c r="E20" s="423" t="s">
        <v>255</v>
      </c>
      <c r="F20" s="1240"/>
      <c r="G20" s="439"/>
      <c r="H20" s="439"/>
      <c r="I20" s="439"/>
      <c r="J20" s="439"/>
      <c r="K20" s="439"/>
      <c r="L20" s="405"/>
    </row>
    <row r="21" spans="1:12" ht="12" customHeight="1">
      <c r="A21" s="405"/>
      <c r="B21" s="417" t="s">
        <v>362</v>
      </c>
      <c r="C21" s="461">
        <v>0</v>
      </c>
      <c r="D21" s="424" t="s">
        <v>287</v>
      </c>
      <c r="E21" s="425" t="s">
        <v>255</v>
      </c>
      <c r="F21" s="1240"/>
      <c r="G21" s="439"/>
      <c r="H21" s="439"/>
      <c r="I21" s="439"/>
      <c r="J21" s="439"/>
      <c r="K21" s="439"/>
      <c r="L21" s="405"/>
    </row>
    <row r="22" spans="1:12" ht="12" customHeight="1" thickBot="1">
      <c r="A22" s="405"/>
      <c r="B22" s="412" t="s">
        <v>467</v>
      </c>
      <c r="C22" s="463">
        <v>0</v>
      </c>
      <c r="D22" s="427" t="s">
        <v>287</v>
      </c>
      <c r="E22" s="428" t="s">
        <v>255</v>
      </c>
      <c r="F22" s="1241"/>
      <c r="G22" s="439"/>
      <c r="H22" s="439"/>
      <c r="I22" s="439"/>
      <c r="J22" s="439"/>
      <c r="K22" s="439"/>
      <c r="L22" s="405"/>
    </row>
    <row r="23" spans="1:12" ht="12" customHeight="1">
      <c r="A23" s="405"/>
      <c r="B23" s="407" t="s">
        <v>147</v>
      </c>
      <c r="C23" s="464">
        <v>0</v>
      </c>
      <c r="D23" s="1242" t="s">
        <v>686</v>
      </c>
      <c r="E23" s="1243"/>
      <c r="F23" s="1244"/>
      <c r="G23" s="439"/>
      <c r="H23" s="439"/>
      <c r="I23" s="439"/>
      <c r="J23" s="439"/>
      <c r="K23" s="439"/>
      <c r="L23" s="405"/>
    </row>
    <row r="24" spans="1:12" ht="12" customHeight="1" thickBot="1">
      <c r="A24" s="405"/>
      <c r="B24" s="412" t="s">
        <v>146</v>
      </c>
      <c r="C24" s="463">
        <v>0</v>
      </c>
      <c r="D24" s="1248" t="s">
        <v>687</v>
      </c>
      <c r="E24" s="1249"/>
      <c r="F24" s="1250"/>
      <c r="G24" s="439"/>
      <c r="H24" s="439"/>
      <c r="I24" s="439"/>
      <c r="J24" s="439"/>
      <c r="K24" s="439"/>
      <c r="L24" s="405"/>
    </row>
    <row r="25" spans="1:12" ht="12" customHeight="1" thickBot="1">
      <c r="A25" s="405"/>
      <c r="B25" s="1228"/>
      <c r="C25" s="1228"/>
      <c r="D25" s="1228"/>
      <c r="E25" s="1228"/>
      <c r="F25" s="439"/>
      <c r="G25" s="439"/>
      <c r="H25" s="439"/>
      <c r="I25" s="439"/>
      <c r="J25" s="439"/>
      <c r="K25" s="439"/>
      <c r="L25" s="405"/>
    </row>
    <row r="26" spans="1:12" ht="12" customHeight="1">
      <c r="A26" s="405"/>
      <c r="B26" s="444" t="s">
        <v>5</v>
      </c>
      <c r="C26" s="445" t="s">
        <v>0</v>
      </c>
      <c r="D26" s="631" t="s">
        <v>4</v>
      </c>
      <c r="E26" s="447" t="s">
        <v>8</v>
      </c>
      <c r="F26" s="439"/>
      <c r="G26" s="439"/>
      <c r="H26" s="439"/>
      <c r="I26" s="439"/>
      <c r="J26" s="439"/>
      <c r="K26" s="439"/>
      <c r="L26" s="405"/>
    </row>
    <row r="27" spans="1:12" ht="12" customHeight="1">
      <c r="A27" s="405"/>
      <c r="B27" s="449" t="s">
        <v>563</v>
      </c>
      <c r="C27" s="342">
        <f>C22*(C6+C7+C8+C9+C10+C11)*2</f>
        <v>0</v>
      </c>
      <c r="D27" s="343"/>
      <c r="E27" s="344">
        <f t="shared" ref="E27:E61" si="1">C27*D27</f>
        <v>0</v>
      </c>
      <c r="F27" s="439"/>
      <c r="G27" s="439"/>
      <c r="H27" s="439"/>
      <c r="I27" s="439"/>
      <c r="J27" s="439"/>
      <c r="K27" s="439"/>
      <c r="L27" s="405"/>
    </row>
    <row r="28" spans="1:12" ht="12" customHeight="1">
      <c r="A28" s="405"/>
      <c r="B28" s="449" t="s">
        <v>564</v>
      </c>
      <c r="C28" s="342">
        <f>C20*(C6+C7+C8+C9+C10+C11)*2</f>
        <v>0</v>
      </c>
      <c r="D28" s="343"/>
      <c r="E28" s="344">
        <f t="shared" si="1"/>
        <v>0</v>
      </c>
      <c r="F28" s="439"/>
      <c r="G28" s="439"/>
      <c r="H28" s="439"/>
      <c r="I28" s="439"/>
      <c r="J28" s="439"/>
      <c r="K28" s="439"/>
      <c r="L28" s="405"/>
    </row>
    <row r="29" spans="1:12" ht="12" customHeight="1">
      <c r="A29" s="405"/>
      <c r="B29" s="449" t="s">
        <v>117</v>
      </c>
      <c r="C29" s="342">
        <f>(C19+C21)*4*(C6+C7+C8+C9+C10+C11)</f>
        <v>0</v>
      </c>
      <c r="D29" s="343"/>
      <c r="E29" s="344">
        <f t="shared" si="1"/>
        <v>0</v>
      </c>
      <c r="F29" s="439"/>
      <c r="G29" s="439"/>
      <c r="H29" s="439"/>
      <c r="I29" s="439"/>
      <c r="J29" s="439"/>
      <c r="K29" s="439"/>
      <c r="L29" s="405"/>
    </row>
    <row r="30" spans="1:12" ht="12" customHeight="1">
      <c r="A30" s="405"/>
      <c r="B30" s="451" t="s">
        <v>641</v>
      </c>
      <c r="C30" s="347">
        <f>EVEN(ROUNDDOWN(IF(AND(C9+C10+C11&gt;0.9,C6+C7+C8=0),(C9+C10+C11)*C2/0.5,0),0))</f>
        <v>0</v>
      </c>
      <c r="D30" s="348"/>
      <c r="E30" s="344">
        <f t="shared" si="1"/>
        <v>0</v>
      </c>
      <c r="F30" s="441"/>
      <c r="G30" s="439"/>
      <c r="H30" s="439"/>
      <c r="I30" s="439"/>
      <c r="J30" s="439"/>
      <c r="K30" s="439"/>
      <c r="L30" s="405"/>
    </row>
    <row r="31" spans="1:12" ht="12" customHeight="1">
      <c r="A31" s="405"/>
      <c r="B31" s="451" t="s">
        <v>555</v>
      </c>
      <c r="C31" s="347">
        <f>C6+C7+C8+C9+C10+C11</f>
        <v>0</v>
      </c>
      <c r="D31" s="348"/>
      <c r="E31" s="344">
        <f>C31*D31</f>
        <v>0</v>
      </c>
      <c r="F31" s="443"/>
      <c r="G31" s="439"/>
      <c r="H31" s="439"/>
      <c r="I31" s="439"/>
      <c r="J31" s="439"/>
      <c r="K31" s="439"/>
      <c r="L31" s="405"/>
    </row>
    <row r="32" spans="1:12" ht="12" customHeight="1">
      <c r="A32" s="405"/>
      <c r="B32" s="451" t="s">
        <v>420</v>
      </c>
      <c r="C32" s="347">
        <f>(C6+C7+C8+C9+C10+C11)*2</f>
        <v>0</v>
      </c>
      <c r="D32" s="348"/>
      <c r="E32" s="344">
        <f>C32*D32</f>
        <v>0</v>
      </c>
      <c r="F32" s="443"/>
      <c r="G32" s="439"/>
      <c r="H32" s="439"/>
      <c r="I32" s="439"/>
      <c r="J32" s="439"/>
      <c r="K32" s="439"/>
      <c r="L32" s="405"/>
    </row>
    <row r="33" spans="1:12" ht="12" customHeight="1">
      <c r="A33" s="405"/>
      <c r="B33" s="449" t="s">
        <v>642</v>
      </c>
      <c r="C33" s="350">
        <f>(C6+C7+C8)*2</f>
        <v>0</v>
      </c>
      <c r="D33" s="351"/>
      <c r="E33" s="344">
        <f t="shared" si="1"/>
        <v>0</v>
      </c>
      <c r="F33" s="439"/>
      <c r="G33" s="439"/>
      <c r="H33" s="439"/>
      <c r="I33" s="439"/>
      <c r="J33" s="439"/>
      <c r="K33" s="439"/>
      <c r="L33" s="405"/>
    </row>
    <row r="34" spans="1:12" ht="12" customHeight="1">
      <c r="A34" s="405"/>
      <c r="B34" s="451" t="s">
        <v>643</v>
      </c>
      <c r="C34" s="350">
        <f>IF(C6+C7+C8=0,(C9+C10+C11)*2,0)</f>
        <v>0</v>
      </c>
      <c r="D34" s="351"/>
      <c r="E34" s="344">
        <f t="shared" si="1"/>
        <v>0</v>
      </c>
      <c r="F34" s="439"/>
      <c r="G34" s="439"/>
      <c r="H34" s="439"/>
      <c r="I34" s="439"/>
      <c r="J34" s="439"/>
      <c r="K34" s="439"/>
      <c r="L34" s="405"/>
    </row>
    <row r="35" spans="1:12" ht="12" customHeight="1">
      <c r="A35" s="405"/>
      <c r="B35" s="451" t="s">
        <v>432</v>
      </c>
      <c r="C35" s="342">
        <f>(C6+C9)*2</f>
        <v>0</v>
      </c>
      <c r="D35" s="343"/>
      <c r="E35" s="344">
        <f t="shared" si="1"/>
        <v>0</v>
      </c>
      <c r="F35" s="439"/>
      <c r="G35" s="439"/>
      <c r="H35" s="439"/>
      <c r="I35" s="439"/>
      <c r="J35" s="439"/>
      <c r="K35" s="439"/>
      <c r="L35" s="405"/>
    </row>
    <row r="36" spans="1:12" ht="12" customHeight="1">
      <c r="A36" s="405"/>
      <c r="B36" s="451" t="s">
        <v>433</v>
      </c>
      <c r="C36" s="347">
        <f>(C6+C9)*2</f>
        <v>0</v>
      </c>
      <c r="D36" s="348"/>
      <c r="E36" s="344">
        <f t="shared" si="1"/>
        <v>0</v>
      </c>
      <c r="F36" s="439"/>
      <c r="G36" s="439"/>
      <c r="H36" s="439"/>
      <c r="I36" s="439"/>
      <c r="J36" s="439"/>
      <c r="K36" s="439"/>
      <c r="L36" s="405"/>
    </row>
    <row r="37" spans="1:12" ht="12" customHeight="1">
      <c r="A37" s="405"/>
      <c r="B37" s="451" t="s">
        <v>600</v>
      </c>
      <c r="C37" s="347">
        <f>(C8+C11)*2</f>
        <v>0</v>
      </c>
      <c r="D37" s="348"/>
      <c r="E37" s="344">
        <f>C37*D37</f>
        <v>0</v>
      </c>
      <c r="F37" s="439"/>
      <c r="G37" s="439"/>
      <c r="H37" s="439"/>
      <c r="I37" s="439"/>
      <c r="J37" s="439"/>
      <c r="K37" s="439"/>
      <c r="L37" s="405"/>
    </row>
    <row r="38" spans="1:12" ht="12" customHeight="1">
      <c r="A38" s="405"/>
      <c r="B38" s="451" t="s">
        <v>434</v>
      </c>
      <c r="C38" s="347">
        <f>(C7+C10+C8+C11)*2</f>
        <v>0</v>
      </c>
      <c r="D38" s="348"/>
      <c r="E38" s="344">
        <f t="shared" si="1"/>
        <v>0</v>
      </c>
      <c r="F38" s="439"/>
      <c r="G38" s="439"/>
      <c r="H38" s="439"/>
      <c r="I38" s="439"/>
      <c r="J38" s="439"/>
      <c r="K38" s="439"/>
      <c r="L38" s="405"/>
    </row>
    <row r="39" spans="1:12" ht="12" customHeight="1">
      <c r="A39" s="405"/>
      <c r="B39" s="451" t="s">
        <v>644</v>
      </c>
      <c r="C39" s="347">
        <f>(C9+C10+C11)*3</f>
        <v>0</v>
      </c>
      <c r="D39" s="348"/>
      <c r="E39" s="344">
        <f t="shared" si="1"/>
        <v>0</v>
      </c>
      <c r="F39" s="439"/>
      <c r="G39" s="439"/>
      <c r="H39" s="439"/>
      <c r="I39" s="439"/>
      <c r="J39" s="439"/>
      <c r="K39" s="439"/>
      <c r="L39" s="405"/>
    </row>
    <row r="40" spans="1:12" ht="12" customHeight="1">
      <c r="A40" s="405"/>
      <c r="B40" s="451" t="s">
        <v>474</v>
      </c>
      <c r="C40" s="347">
        <f>C22*(C2+C4)*(C6+C7+C8+C9+C10+C11)</f>
        <v>0</v>
      </c>
      <c r="D40" s="348"/>
      <c r="E40" s="344">
        <f>C40*D40</f>
        <v>0</v>
      </c>
      <c r="F40" s="439"/>
      <c r="G40" s="439"/>
      <c r="H40" s="439"/>
      <c r="I40" s="439"/>
      <c r="J40" s="439"/>
      <c r="K40" s="439"/>
      <c r="L40" s="405"/>
    </row>
    <row r="41" spans="1:12" ht="12" customHeight="1">
      <c r="A41" s="405"/>
      <c r="B41" s="449" t="s">
        <v>474</v>
      </c>
      <c r="C41" s="347">
        <f>(C2+C4)*(C6+C7+C8+C9+C10+C11)</f>
        <v>0</v>
      </c>
      <c r="D41" s="348"/>
      <c r="E41" s="344">
        <f t="shared" si="1"/>
        <v>0</v>
      </c>
      <c r="F41" s="439"/>
      <c r="G41" s="439"/>
      <c r="H41" s="439"/>
      <c r="I41" s="439"/>
      <c r="J41" s="439"/>
      <c r="K41" s="439"/>
      <c r="L41" s="405"/>
    </row>
    <row r="42" spans="1:12" ht="12" customHeight="1">
      <c r="A42" s="405"/>
      <c r="B42" s="451" t="s">
        <v>363</v>
      </c>
      <c r="C42" s="347">
        <f>C21*2*(C2+C4)*(C6+C7+C8+C9+C10+C11)</f>
        <v>0</v>
      </c>
      <c r="D42" s="348"/>
      <c r="E42" s="344">
        <f t="shared" si="1"/>
        <v>0</v>
      </c>
      <c r="F42" s="439"/>
      <c r="G42" s="439"/>
      <c r="H42" s="439"/>
      <c r="I42" s="439"/>
      <c r="J42" s="439"/>
      <c r="K42" s="439"/>
      <c r="L42" s="405"/>
    </row>
    <row r="43" spans="1:12" ht="12" customHeight="1">
      <c r="A43" s="405"/>
      <c r="B43" s="451" t="s">
        <v>477</v>
      </c>
      <c r="C43" s="347">
        <f>C20*(C2+C4)*(C6+C7+C8+C9+C10+C11)</f>
        <v>0</v>
      </c>
      <c r="D43" s="353"/>
      <c r="E43" s="344">
        <f t="shared" si="1"/>
        <v>0</v>
      </c>
      <c r="F43" s="439"/>
      <c r="G43" s="439"/>
      <c r="H43" s="439"/>
      <c r="I43" s="439"/>
      <c r="J43" s="439"/>
      <c r="K43" s="439"/>
      <c r="L43" s="405"/>
    </row>
    <row r="44" spans="1:12" ht="12" customHeight="1">
      <c r="A44" s="405"/>
      <c r="B44" s="451" t="s">
        <v>467</v>
      </c>
      <c r="C44" s="347">
        <f>C22*(C2+C4)*(C6+C7+C8+C9+C10+C11)</f>
        <v>0</v>
      </c>
      <c r="D44" s="348"/>
      <c r="E44" s="344">
        <f t="shared" si="1"/>
        <v>0</v>
      </c>
      <c r="F44" s="439"/>
      <c r="G44" s="439"/>
      <c r="H44" s="439"/>
      <c r="I44" s="439"/>
      <c r="J44" s="439"/>
      <c r="K44" s="439"/>
      <c r="L44" s="405"/>
    </row>
    <row r="45" spans="1:12" ht="12" customHeight="1">
      <c r="A45" s="405"/>
      <c r="B45" s="451" t="s">
        <v>645</v>
      </c>
      <c r="C45" s="347">
        <f>C20*(C2+C4)*(C6+C7+C8+C9+C10+C11)</f>
        <v>0</v>
      </c>
      <c r="D45" s="348"/>
      <c r="E45" s="344">
        <f t="shared" si="1"/>
        <v>0</v>
      </c>
      <c r="F45" s="439"/>
      <c r="G45" s="439"/>
      <c r="H45" s="439"/>
      <c r="I45" s="439"/>
      <c r="J45" s="439"/>
      <c r="K45" s="439"/>
      <c r="L45" s="405"/>
    </row>
    <row r="46" spans="1:12" ht="12" customHeight="1">
      <c r="A46" s="405"/>
      <c r="B46" s="451" t="s">
        <v>364</v>
      </c>
      <c r="C46" s="347">
        <f>C19*(C2+C4)*(C6+C7+C8+C9+C10+C11)</f>
        <v>0</v>
      </c>
      <c r="D46" s="348"/>
      <c r="E46" s="344">
        <f t="shared" si="1"/>
        <v>0</v>
      </c>
      <c r="F46" s="439"/>
      <c r="G46" s="439"/>
      <c r="H46" s="439"/>
      <c r="I46" s="439"/>
      <c r="J46" s="439"/>
      <c r="K46" s="439"/>
      <c r="L46" s="405"/>
    </row>
    <row r="47" spans="1:12" ht="12" customHeight="1">
      <c r="A47" s="405"/>
      <c r="B47" s="451" t="s">
        <v>365</v>
      </c>
      <c r="C47" s="354">
        <f>C21*(C2+C4)*(C6+C7+C8+C9+C10+C11)</f>
        <v>0</v>
      </c>
      <c r="D47" s="348"/>
      <c r="E47" s="344">
        <f t="shared" si="1"/>
        <v>0</v>
      </c>
      <c r="F47" s="439"/>
      <c r="G47" s="439"/>
      <c r="H47" s="439"/>
      <c r="I47" s="439"/>
      <c r="J47" s="439"/>
      <c r="K47" s="439"/>
      <c r="L47" s="405"/>
    </row>
    <row r="48" spans="1:12" ht="12" customHeight="1">
      <c r="A48" s="405"/>
      <c r="B48" s="449" t="s">
        <v>461</v>
      </c>
      <c r="C48" s="354">
        <f>(C6+C9)*(C2+C4)</f>
        <v>0</v>
      </c>
      <c r="D48" s="348"/>
      <c r="E48" s="344">
        <f t="shared" si="1"/>
        <v>0</v>
      </c>
      <c r="F48" s="439"/>
      <c r="G48" s="439"/>
      <c r="H48" s="439"/>
      <c r="I48" s="439"/>
      <c r="J48" s="439"/>
      <c r="K48" s="439"/>
      <c r="L48" s="405"/>
    </row>
    <row r="49" spans="1:12" ht="12" customHeight="1">
      <c r="A49" s="405"/>
      <c r="B49" s="449" t="s">
        <v>462</v>
      </c>
      <c r="C49" s="354">
        <f>(C7+C10)*(C2+C4)</f>
        <v>0</v>
      </c>
      <c r="D49" s="348"/>
      <c r="E49" s="344">
        <f t="shared" si="1"/>
        <v>0</v>
      </c>
      <c r="F49" s="443"/>
      <c r="G49" s="439"/>
      <c r="H49" s="439"/>
      <c r="I49" s="439"/>
      <c r="J49" s="439"/>
      <c r="K49" s="439"/>
      <c r="L49" s="405"/>
    </row>
    <row r="50" spans="1:12" ht="12" customHeight="1">
      <c r="A50" s="405"/>
      <c r="B50" s="449" t="s">
        <v>601</v>
      </c>
      <c r="C50" s="354">
        <f>(C8+C11)*(C2+C4)</f>
        <v>0</v>
      </c>
      <c r="D50" s="348"/>
      <c r="E50" s="344">
        <f>C50*D50</f>
        <v>0</v>
      </c>
      <c r="F50" s="443"/>
      <c r="G50" s="439"/>
      <c r="H50" s="439"/>
      <c r="I50" s="439"/>
      <c r="J50" s="439"/>
      <c r="K50" s="439"/>
      <c r="L50" s="405"/>
    </row>
    <row r="51" spans="1:12" ht="12" customHeight="1">
      <c r="A51" s="405"/>
      <c r="B51" s="449" t="s">
        <v>422</v>
      </c>
      <c r="C51" s="354">
        <f>IF(C6+C7+C8=0,(C9+C10+C11)*(C2+C4),0)</f>
        <v>0</v>
      </c>
      <c r="D51" s="348">
        <v>1</v>
      </c>
      <c r="E51" s="344">
        <f t="shared" si="1"/>
        <v>0</v>
      </c>
      <c r="F51" s="439"/>
      <c r="G51" s="439"/>
      <c r="H51" s="439"/>
      <c r="I51" s="439"/>
      <c r="J51" s="439"/>
      <c r="K51" s="439"/>
      <c r="L51" s="405"/>
    </row>
    <row r="52" spans="1:12" ht="12" customHeight="1">
      <c r="A52" s="405"/>
      <c r="B52" s="451" t="s">
        <v>647</v>
      </c>
      <c r="C52" s="354">
        <f>(C6+C7+C8+C9+C10+C11)*2</f>
        <v>0</v>
      </c>
      <c r="D52" s="348"/>
      <c r="E52" s="344">
        <f t="shared" si="1"/>
        <v>0</v>
      </c>
      <c r="F52" s="439"/>
      <c r="G52" s="439"/>
      <c r="H52" s="439"/>
      <c r="I52" s="439"/>
      <c r="J52" s="439"/>
      <c r="K52" s="439"/>
      <c r="L52" s="405"/>
    </row>
    <row r="53" spans="1:12" ht="12" customHeight="1">
      <c r="A53" s="405"/>
      <c r="B53" s="451" t="s">
        <v>424</v>
      </c>
      <c r="C53" s="354">
        <f>(C9+C10+C11)*6</f>
        <v>0</v>
      </c>
      <c r="D53" s="348"/>
      <c r="E53" s="344">
        <f t="shared" si="1"/>
        <v>0</v>
      </c>
      <c r="F53" s="439"/>
      <c r="G53" s="439"/>
      <c r="H53" s="439"/>
      <c r="I53" s="439"/>
      <c r="J53" s="439"/>
      <c r="K53" s="439"/>
      <c r="L53" s="405"/>
    </row>
    <row r="54" spans="1:12" ht="12" customHeight="1">
      <c r="A54" s="405"/>
      <c r="B54" s="452" t="s">
        <v>602</v>
      </c>
      <c r="C54" s="354">
        <f>C14*(C8+C11)*2</f>
        <v>0</v>
      </c>
      <c r="D54" s="348"/>
      <c r="E54" s="344">
        <f t="shared" si="1"/>
        <v>0</v>
      </c>
      <c r="F54" s="439"/>
      <c r="G54" s="439"/>
      <c r="H54" s="439"/>
      <c r="I54" s="439"/>
      <c r="J54" s="439"/>
      <c r="K54" s="439"/>
      <c r="L54" s="405"/>
    </row>
    <row r="55" spans="1:12" ht="12" customHeight="1">
      <c r="A55" s="405"/>
      <c r="B55" s="452" t="s">
        <v>603</v>
      </c>
      <c r="C55" s="354">
        <f>C17*(C8+C11)*2</f>
        <v>0</v>
      </c>
      <c r="D55" s="348"/>
      <c r="E55" s="344">
        <f t="shared" si="1"/>
        <v>0</v>
      </c>
      <c r="F55" s="439"/>
      <c r="G55" s="439"/>
      <c r="H55" s="439"/>
      <c r="I55" s="439"/>
      <c r="J55" s="439"/>
      <c r="K55" s="439"/>
      <c r="L55" s="405"/>
    </row>
    <row r="56" spans="1:12" ht="12" customHeight="1">
      <c r="A56" s="405"/>
      <c r="B56" s="452" t="s">
        <v>378</v>
      </c>
      <c r="C56" s="354">
        <f>C12*(C6+C9)*2</f>
        <v>0</v>
      </c>
      <c r="D56" s="353"/>
      <c r="E56" s="344">
        <f t="shared" si="1"/>
        <v>0</v>
      </c>
      <c r="F56" s="453"/>
      <c r="G56" s="439"/>
      <c r="H56" s="439"/>
      <c r="I56" s="439"/>
      <c r="J56" s="439"/>
      <c r="K56" s="439"/>
      <c r="L56" s="405"/>
    </row>
    <row r="57" spans="1:12" ht="12" customHeight="1">
      <c r="A57" s="405"/>
      <c r="B57" s="452" t="s">
        <v>598</v>
      </c>
      <c r="C57" s="354">
        <f>C15*(C6+C9)*2</f>
        <v>0</v>
      </c>
      <c r="D57" s="353"/>
      <c r="E57" s="344">
        <f t="shared" si="1"/>
        <v>0</v>
      </c>
      <c r="F57" s="701"/>
      <c r="G57" s="439"/>
      <c r="H57" s="439"/>
      <c r="I57" s="439"/>
      <c r="J57" s="439"/>
      <c r="K57" s="439"/>
      <c r="L57" s="405"/>
    </row>
    <row r="58" spans="1:12" ht="12" customHeight="1">
      <c r="A58" s="405"/>
      <c r="B58" s="452" t="s">
        <v>436</v>
      </c>
      <c r="C58" s="354">
        <f>C13*(C7+C10)*2</f>
        <v>0</v>
      </c>
      <c r="D58" s="348"/>
      <c r="E58" s="344">
        <f t="shared" si="1"/>
        <v>0</v>
      </c>
      <c r="F58" s="647"/>
      <c r="G58" s="439"/>
      <c r="H58" s="439"/>
      <c r="I58" s="439"/>
      <c r="J58" s="439"/>
      <c r="K58" s="439"/>
      <c r="L58" s="405"/>
    </row>
    <row r="59" spans="1:12" ht="12" customHeight="1">
      <c r="A59" s="405"/>
      <c r="B59" s="525" t="s">
        <v>145</v>
      </c>
      <c r="C59" s="506">
        <f>C24</f>
        <v>0</v>
      </c>
      <c r="D59" s="522"/>
      <c r="E59" s="400">
        <f t="shared" si="1"/>
        <v>0</v>
      </c>
      <c r="F59" s="647"/>
      <c r="G59" s="439"/>
      <c r="H59" s="439"/>
      <c r="I59" s="439"/>
      <c r="J59" s="439"/>
      <c r="K59" s="439"/>
      <c r="L59" s="405"/>
    </row>
    <row r="60" spans="1:12" ht="12" customHeight="1">
      <c r="A60" s="405"/>
      <c r="B60" s="525" t="s">
        <v>148</v>
      </c>
      <c r="C60" s="506">
        <f>C23</f>
        <v>0</v>
      </c>
      <c r="D60" s="522"/>
      <c r="E60" s="400">
        <f t="shared" si="1"/>
        <v>0</v>
      </c>
      <c r="F60" s="647"/>
      <c r="G60" s="439"/>
      <c r="H60" s="439"/>
      <c r="I60" s="439"/>
      <c r="J60" s="439"/>
      <c r="K60" s="439"/>
      <c r="L60" s="405"/>
    </row>
    <row r="61" spans="1:12" ht="12" customHeight="1" thickBot="1">
      <c r="A61" s="405"/>
      <c r="B61" s="454" t="s">
        <v>599</v>
      </c>
      <c r="C61" s="402">
        <f>C16*(C7+C10)*2</f>
        <v>0</v>
      </c>
      <c r="D61" s="403"/>
      <c r="E61" s="404">
        <f t="shared" si="1"/>
        <v>0</v>
      </c>
      <c r="F61" s="647"/>
      <c r="G61" s="439"/>
      <c r="H61" s="439"/>
      <c r="I61" s="439"/>
      <c r="J61" s="439"/>
      <c r="K61" s="439"/>
      <c r="L61" s="405"/>
    </row>
    <row r="62" spans="1:12" ht="12" customHeight="1" thickBot="1">
      <c r="A62" s="405"/>
      <c r="B62" s="439"/>
      <c r="C62" s="439"/>
      <c r="D62" s="455" t="s">
        <v>9</v>
      </c>
      <c r="E62" s="527">
        <f>SUMIF(E27:E61,"&gt;0",E27:E61)</f>
        <v>0</v>
      </c>
      <c r="F62" s="647"/>
      <c r="G62" s="439"/>
      <c r="H62" s="439"/>
      <c r="I62" s="439"/>
      <c r="J62" s="439"/>
      <c r="K62" s="439"/>
      <c r="L62" s="405"/>
    </row>
    <row r="63" spans="1:12">
      <c r="A63" s="405"/>
      <c r="B63" s="439"/>
      <c r="C63" s="439"/>
      <c r="D63" s="439"/>
      <c r="E63" s="439"/>
      <c r="F63" s="647"/>
      <c r="G63" s="439"/>
      <c r="H63" s="439"/>
      <c r="I63" s="439"/>
      <c r="J63" s="439"/>
      <c r="K63" s="439"/>
      <c r="L63" s="405"/>
    </row>
    <row r="64" spans="1:12">
      <c r="A64" s="405"/>
      <c r="B64" s="405"/>
      <c r="C64" s="405"/>
      <c r="D64" s="405"/>
      <c r="E64" s="405"/>
      <c r="F64" s="405"/>
      <c r="G64" s="405"/>
      <c r="H64" s="405"/>
      <c r="I64" s="405"/>
      <c r="J64" s="405"/>
      <c r="K64" s="405"/>
      <c r="L64" s="405"/>
    </row>
    <row r="65" spans="1:12" ht="11.25" customHeight="1">
      <c r="A65" s="405"/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</row>
    <row r="66" spans="1:12">
      <c r="A66" s="405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</row>
    <row r="67" spans="1:12">
      <c r="A67" s="405"/>
      <c r="B67" s="405"/>
      <c r="C67" s="405"/>
      <c r="D67" s="405"/>
      <c r="E67" s="405"/>
      <c r="F67" s="405"/>
      <c r="G67" s="405"/>
      <c r="H67" s="405"/>
      <c r="I67" s="405"/>
      <c r="J67" s="405"/>
      <c r="K67" s="405"/>
      <c r="L67" s="405"/>
    </row>
    <row r="68" spans="1:12">
      <c r="A68" s="405"/>
      <c r="B68" s="405"/>
      <c r="C68" s="405"/>
      <c r="D68" s="405"/>
      <c r="E68" s="405"/>
      <c r="F68" s="405"/>
      <c r="G68" s="405"/>
      <c r="H68" s="405"/>
      <c r="I68" s="405"/>
      <c r="J68" s="405"/>
      <c r="K68" s="405"/>
      <c r="L68" s="405"/>
    </row>
    <row r="69" spans="1:12">
      <c r="A69" s="405"/>
      <c r="B69" s="405"/>
      <c r="C69" s="405"/>
      <c r="D69" s="405"/>
      <c r="E69" s="405"/>
      <c r="F69" s="405"/>
      <c r="G69" s="405"/>
      <c r="H69" s="405"/>
      <c r="I69" s="405"/>
      <c r="J69" s="405"/>
      <c r="K69" s="405"/>
      <c r="L69" s="405"/>
    </row>
    <row r="70" spans="1:12" ht="11.25" customHeight="1">
      <c r="A70" s="405"/>
      <c r="B70" s="405"/>
      <c r="C70" s="405"/>
      <c r="D70" s="405"/>
      <c r="E70" s="405"/>
      <c r="F70" s="405"/>
      <c r="G70" s="405"/>
      <c r="H70" s="405"/>
      <c r="I70" s="405"/>
      <c r="J70" s="405"/>
      <c r="K70" s="405"/>
      <c r="L70" s="405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295" priority="54" operator="greaterThan">
      <formula>0</formula>
    </cfRule>
  </conditionalFormatting>
  <conditionalFormatting sqref="C18">
    <cfRule type="cellIs" dxfId="294" priority="58" operator="greaterThan">
      <formula>0</formula>
    </cfRule>
  </conditionalFormatting>
  <conditionalFormatting sqref="C18">
    <cfRule type="cellIs" dxfId="293" priority="57" operator="greaterThan">
      <formula>0</formula>
    </cfRule>
  </conditionalFormatting>
  <conditionalFormatting sqref="C18">
    <cfRule type="cellIs" dxfId="292" priority="56" operator="greaterThan">
      <formula>0</formula>
    </cfRule>
  </conditionalFormatting>
  <conditionalFormatting sqref="C18">
    <cfRule type="cellIs" dxfId="291" priority="55" operator="greaterThan">
      <formula>0</formula>
    </cfRule>
  </conditionalFormatting>
  <conditionalFormatting sqref="C54:E54">
    <cfRule type="cellIs" dxfId="290" priority="53" operator="greaterThan">
      <formula>0</formula>
    </cfRule>
  </conditionalFormatting>
  <conditionalFormatting sqref="C55:E55">
    <cfRule type="cellIs" dxfId="289" priority="52" operator="greaterThan">
      <formula>0</formula>
    </cfRule>
  </conditionalFormatting>
  <conditionalFormatting sqref="C54:E55">
    <cfRule type="cellIs" dxfId="288" priority="51" operator="greaterThan">
      <formula>0</formula>
    </cfRule>
  </conditionalFormatting>
  <conditionalFormatting sqref="C54:E55">
    <cfRule type="cellIs" dxfId="287" priority="50" operator="greaterThan">
      <formula>0</formula>
    </cfRule>
  </conditionalFormatting>
  <conditionalFormatting sqref="C54:E55">
    <cfRule type="cellIs" dxfId="286" priority="49" operator="greaterThan">
      <formula>0</formula>
    </cfRule>
  </conditionalFormatting>
  <conditionalFormatting sqref="J3:J19">
    <cfRule type="cellIs" dxfId="285" priority="22" operator="greaterThan">
      <formula>0</formula>
    </cfRule>
    <cfRule type="cellIs" dxfId="284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3" priority="43" operator="equal">
      <formula>"ДА"</formula>
    </cfRule>
    <cfRule type="cellIs" dxfId="282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1" priority="40" operator="equal">
      <formula>"ДА"</formula>
    </cfRule>
    <cfRule type="cellIs" dxfId="280" priority="41" operator="equal">
      <formula>"НЕТ"</formula>
    </cfRule>
  </conditionalFormatting>
  <conditionalFormatting sqref="I5">
    <cfRule type="cellIs" dxfId="279" priority="37" operator="equal">
      <formula>"ДА"</formula>
    </cfRule>
    <cfRule type="cellIs" dxfId="278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77" priority="33" operator="equal">
      <formula>"ДА"</formula>
    </cfRule>
    <cfRule type="cellIs" dxfId="276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275" priority="29" operator="equal">
      <formula>"ДА"</formula>
    </cfRule>
    <cfRule type="cellIs" dxfId="274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273" priority="27" operator="equal">
      <formula>"ДА"</formula>
    </cfRule>
    <cfRule type="cellIs" dxfId="272" priority="28" operator="equal">
      <formula>"НЕТ"</formula>
    </cfRule>
  </conditionalFormatting>
  <conditionalFormatting sqref="I19">
    <cfRule type="cellIs" dxfId="271" priority="25" operator="equal">
      <formula>"ДА"</formula>
    </cfRule>
    <cfRule type="cellIs" dxfId="270" priority="26" operator="equal">
      <formula>"НЕТ"</formula>
    </cfRule>
  </conditionalFormatting>
  <conditionalFormatting sqref="K3:K19">
    <cfRule type="cellIs" dxfId="269" priority="24" operator="greaterThan">
      <formula>0</formula>
    </cfRule>
  </conditionalFormatting>
  <conditionalFormatting sqref="I15:I19">
    <cfRule type="cellIs" dxfId="268" priority="21" operator="equal">
      <formula>"НЕТ"</formula>
    </cfRule>
  </conditionalFormatting>
  <conditionalFormatting sqref="I3:I19">
    <cfRule type="cellIs" dxfId="267" priority="19" operator="equal">
      <formula>"НЕТ"</formula>
    </cfRule>
    <cfRule type="cellIs" dxfId="266" priority="20" operator="equal">
      <formula>"ДА"</formula>
    </cfRule>
  </conditionalFormatting>
  <conditionalFormatting sqref="I3:I18">
    <cfRule type="cellIs" dxfId="265" priority="18" operator="equal">
      <formula>"ДА"</formula>
    </cfRule>
  </conditionalFormatting>
  <conditionalFormatting sqref="I5">
    <cfRule type="cellIs" dxfId="264" priority="15" operator="equal">
      <formula>"ДА"</formula>
    </cfRule>
    <cfRule type="cellIs" dxfId="263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2" priority="12" operator="equal">
      <formula>"ДА"</formula>
    </cfRule>
    <cfRule type="cellIs" dxfId="261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260" priority="3" operator="greaterThan">
      <formula>0</formula>
    </cfRule>
    <cfRule type="cellIs" dxfId="259" priority="7" operator="greaterThan">
      <formula>0</formula>
    </cfRule>
    <cfRule type="cellIs" dxfId="258" priority="11" operator="greaterThan">
      <formula>0</formula>
    </cfRule>
  </conditionalFormatting>
  <conditionalFormatting sqref="I5">
    <cfRule type="cellIs" dxfId="257" priority="8" operator="equal">
      <formula>"ДА"</formula>
    </cfRule>
    <cfRule type="cellIs" dxfId="256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55" priority="6" operator="greaterThan">
      <formula>0</formula>
    </cfRule>
  </conditionalFormatting>
  <conditionalFormatting sqref="C44:E58 C61:E61">
    <cfRule type="cellIs" dxfId="254" priority="5" operator="greaterThan">
      <formula>0</formula>
    </cfRule>
  </conditionalFormatting>
  <conditionalFormatting sqref="E62">
    <cfRule type="cellIs" dxfId="253" priority="4" operator="greaterThan">
      <formula>0</formula>
    </cfRule>
  </conditionalFormatting>
  <conditionalFormatting sqref="C23:C24">
    <cfRule type="cellIs" dxfId="252" priority="2" operator="greaterThan">
      <formula>0</formula>
    </cfRule>
  </conditionalFormatting>
  <conditionalFormatting sqref="C59:E60">
    <cfRule type="cellIs" dxfId="25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05"/>
      <c r="B1" s="1273"/>
      <c r="C1" s="1274"/>
      <c r="D1" s="1274"/>
      <c r="E1" s="1274"/>
      <c r="F1" s="405"/>
      <c r="G1" s="405"/>
      <c r="H1" s="405"/>
      <c r="I1" s="405"/>
      <c r="J1" s="405"/>
      <c r="K1" s="405"/>
    </row>
    <row r="2" spans="1:12" ht="12" customHeight="1" thickBot="1">
      <c r="A2" s="405"/>
      <c r="B2" s="407" t="s">
        <v>556</v>
      </c>
      <c r="C2" s="458">
        <v>0</v>
      </c>
      <c r="D2" s="1231" t="s">
        <v>595</v>
      </c>
      <c r="E2" s="1232"/>
      <c r="F2" s="1233"/>
      <c r="G2" s="439"/>
      <c r="H2" s="409" t="s">
        <v>485</v>
      </c>
      <c r="I2" s="688" t="s">
        <v>604</v>
      </c>
      <c r="J2" s="410" t="s">
        <v>4</v>
      </c>
      <c r="K2" s="411" t="s">
        <v>8</v>
      </c>
      <c r="L2" s="316"/>
    </row>
    <row r="3" spans="1:12" ht="12" customHeight="1">
      <c r="A3" s="405"/>
      <c r="B3" s="417" t="s">
        <v>557</v>
      </c>
      <c r="C3" s="551">
        <v>0</v>
      </c>
      <c r="D3" s="1251"/>
      <c r="E3" s="1237"/>
      <c r="F3" s="1238"/>
      <c r="G3" s="439"/>
      <c r="H3" s="413" t="s">
        <v>489</v>
      </c>
      <c r="I3" s="623" t="str">
        <f>IF(AND($C$8+$C$9=1,$C$10+$C$11=0,$C$12=1),"ДА","НЕТ")</f>
        <v>НЕТ</v>
      </c>
      <c r="J3" s="318"/>
      <c r="K3" s="319">
        <f>IF(I3="ДА",($C$6+$C$7)*J3,0)</f>
        <v>0</v>
      </c>
      <c r="L3" s="316"/>
    </row>
    <row r="4" spans="1:12" ht="12" customHeight="1">
      <c r="A4" s="405"/>
      <c r="B4" s="514" t="s">
        <v>558</v>
      </c>
      <c r="C4" s="619">
        <v>0</v>
      </c>
      <c r="D4" s="1251"/>
      <c r="E4" s="1237"/>
      <c r="F4" s="1238"/>
      <c r="G4" s="439"/>
      <c r="H4" s="418" t="s">
        <v>486</v>
      </c>
      <c r="I4" s="624" t="str">
        <f>IF(AND($C$8+$C$9=1,$C$10+$C$11=0,$C$12=3),"ДА","НЕТ")</f>
        <v>НЕТ</v>
      </c>
      <c r="J4" s="325"/>
      <c r="K4" s="319">
        <f t="shared" ref="K4:K15" si="0">IF(I4="ДА",($C$6+$C$7)*J4,0)</f>
        <v>0</v>
      </c>
      <c r="L4" s="316"/>
    </row>
    <row r="5" spans="1:12" ht="12" customHeight="1" thickBot="1">
      <c r="A5" s="405"/>
      <c r="B5" s="412" t="s">
        <v>559</v>
      </c>
      <c r="C5" s="459">
        <v>0</v>
      </c>
      <c r="D5" s="1234"/>
      <c r="E5" s="1235"/>
      <c r="F5" s="1236"/>
      <c r="G5" s="439"/>
      <c r="H5" s="418" t="s">
        <v>591</v>
      </c>
      <c r="I5" s="624" t="str">
        <f>IF(AND($C$8+$C$9=1,$C$10+$C$11=0,$C$12=3),"ДА","НЕТ")</f>
        <v>НЕТ</v>
      </c>
      <c r="J5" s="325"/>
      <c r="K5" s="319">
        <f t="shared" si="0"/>
        <v>0</v>
      </c>
      <c r="L5" s="316"/>
    </row>
    <row r="6" spans="1:12" ht="12" customHeight="1">
      <c r="A6" s="405"/>
      <c r="B6" s="407" t="s">
        <v>560</v>
      </c>
      <c r="C6" s="586">
        <v>0</v>
      </c>
      <c r="D6" s="1231" t="s">
        <v>597</v>
      </c>
      <c r="E6" s="1232"/>
      <c r="F6" s="1233"/>
      <c r="G6" s="439"/>
      <c r="H6" s="418" t="s">
        <v>487</v>
      </c>
      <c r="I6" s="624" t="str">
        <f>IF(AND($C$8+$C$9=1,$C$10+$C$11=0,$C$12=2),"ДА","НЕТ")</f>
        <v>НЕТ</v>
      </c>
      <c r="J6" s="325"/>
      <c r="K6" s="319">
        <f t="shared" si="0"/>
        <v>0</v>
      </c>
      <c r="L6" s="316"/>
    </row>
    <row r="7" spans="1:12" ht="12" customHeight="1" thickBot="1">
      <c r="A7" s="405"/>
      <c r="B7" s="440" t="s">
        <v>561</v>
      </c>
      <c r="C7" s="588">
        <v>0</v>
      </c>
      <c r="D7" s="1234"/>
      <c r="E7" s="1235"/>
      <c r="F7" s="1236"/>
      <c r="G7" s="439"/>
      <c r="H7" s="418" t="s">
        <v>488</v>
      </c>
      <c r="I7" s="624" t="str">
        <f>IF(AND($C$8+$C$9=1,$C$10+$C$11=0,$C$12=2),"ДА","НЕТ")</f>
        <v>НЕТ</v>
      </c>
      <c r="J7" s="325"/>
      <c r="K7" s="319">
        <f t="shared" si="0"/>
        <v>0</v>
      </c>
      <c r="L7" s="316"/>
    </row>
    <row r="8" spans="1:12" ht="12" customHeight="1">
      <c r="A8" s="405"/>
      <c r="B8" s="419" t="s">
        <v>498</v>
      </c>
      <c r="C8" s="549">
        <v>0</v>
      </c>
      <c r="D8" s="422" t="s">
        <v>287</v>
      </c>
      <c r="E8" s="423" t="s">
        <v>255</v>
      </c>
      <c r="F8" s="1240" t="s">
        <v>597</v>
      </c>
      <c r="G8" s="439"/>
      <c r="H8" s="418" t="s">
        <v>494</v>
      </c>
      <c r="I8" s="624" t="str">
        <f>IF(AND($C$8+$C$9=1,$C$10+$C$11=0,$C$12=2),"ДА","НЕТ")</f>
        <v>НЕТ</v>
      </c>
      <c r="J8" s="325"/>
      <c r="K8" s="319">
        <f t="shared" si="0"/>
        <v>0</v>
      </c>
      <c r="L8" s="316"/>
    </row>
    <row r="9" spans="1:12" ht="12" customHeight="1">
      <c r="A9" s="405"/>
      <c r="B9" s="417" t="s">
        <v>499</v>
      </c>
      <c r="C9" s="461">
        <v>0</v>
      </c>
      <c r="D9" s="424" t="s">
        <v>287</v>
      </c>
      <c r="E9" s="425" t="s">
        <v>255</v>
      </c>
      <c r="F9" s="1240"/>
      <c r="G9" s="439"/>
      <c r="H9" s="413" t="s">
        <v>590</v>
      </c>
      <c r="I9" s="624" t="str">
        <f>IF(AND($C$8+$C$9=1,$C$10+$C$11=0,$C$12=1),"ДА","НЕТ")</f>
        <v>НЕТ</v>
      </c>
      <c r="J9" s="318"/>
      <c r="K9" s="319">
        <f t="shared" si="0"/>
        <v>0</v>
      </c>
      <c r="L9" s="316"/>
    </row>
    <row r="10" spans="1:12" ht="12" customHeight="1">
      <c r="A10" s="405"/>
      <c r="B10" s="419" t="s">
        <v>500</v>
      </c>
      <c r="C10" s="462">
        <v>0</v>
      </c>
      <c r="D10" s="422" t="s">
        <v>287</v>
      </c>
      <c r="E10" s="423" t="s">
        <v>255</v>
      </c>
      <c r="F10" s="1240"/>
      <c r="G10" s="439"/>
      <c r="H10" s="413" t="s">
        <v>383</v>
      </c>
      <c r="I10" s="624" t="str">
        <f>IF(AND($C$8+$C$9=0,$C$10+$C$11=1,$C$12=1),"ДА","НЕТ")</f>
        <v>НЕТ</v>
      </c>
      <c r="J10" s="325"/>
      <c r="K10" s="319">
        <f t="shared" si="0"/>
        <v>0</v>
      </c>
      <c r="L10" s="316"/>
    </row>
    <row r="11" spans="1:12" ht="12" customHeight="1" thickBot="1">
      <c r="A11" s="405"/>
      <c r="B11" s="412" t="s">
        <v>501</v>
      </c>
      <c r="C11" s="463">
        <v>0</v>
      </c>
      <c r="D11" s="427" t="s">
        <v>287</v>
      </c>
      <c r="E11" s="428" t="s">
        <v>255</v>
      </c>
      <c r="F11" s="1241"/>
      <c r="G11" s="439"/>
      <c r="H11" s="416" t="s">
        <v>384</v>
      </c>
      <c r="I11" s="624" t="str">
        <f>IF(AND($C$8+$C$9=0,$C$10+$C$11=1,$C$12=1),"ДА","НЕТ")</f>
        <v>НЕТ</v>
      </c>
      <c r="J11" s="325"/>
      <c r="K11" s="319">
        <f t="shared" si="0"/>
        <v>0</v>
      </c>
      <c r="L11" s="316"/>
    </row>
    <row r="12" spans="1:12" ht="12" customHeight="1" thickBot="1">
      <c r="A12" s="405"/>
      <c r="B12" s="429" t="s">
        <v>589</v>
      </c>
      <c r="C12" s="548">
        <v>0</v>
      </c>
      <c r="D12" s="433" t="s">
        <v>619</v>
      </c>
      <c r="E12" s="434" t="s">
        <v>620</v>
      </c>
      <c r="F12" s="644" t="s">
        <v>621</v>
      </c>
      <c r="G12" s="439"/>
      <c r="H12" s="416" t="s">
        <v>385</v>
      </c>
      <c r="I12" s="624" t="str">
        <f>IF(AND($C$8+$C$9=0,$C$10+$C$11=1,$C$12=1),"ДА","НЕТ")</f>
        <v>НЕТ</v>
      </c>
      <c r="J12" s="328"/>
      <c r="K12" s="319">
        <f t="shared" si="0"/>
        <v>0</v>
      </c>
      <c r="L12" s="316"/>
    </row>
    <row r="13" spans="1:12" ht="12" customHeight="1">
      <c r="A13" s="405"/>
      <c r="B13" s="419" t="s">
        <v>397</v>
      </c>
      <c r="C13" s="462">
        <v>0</v>
      </c>
      <c r="D13" s="420" t="s">
        <v>287</v>
      </c>
      <c r="E13" s="421" t="s">
        <v>255</v>
      </c>
      <c r="F13" s="1252" t="s">
        <v>597</v>
      </c>
      <c r="G13" s="439"/>
      <c r="H13" s="413" t="s">
        <v>388</v>
      </c>
      <c r="I13" s="624" t="str">
        <f>IF(AND($C$8+$C$9=0,$C$10+$C$11=1,$C$12=2),"ДА","НЕТ")</f>
        <v>НЕТ</v>
      </c>
      <c r="J13" s="325"/>
      <c r="K13" s="319">
        <f t="shared" si="0"/>
        <v>0</v>
      </c>
      <c r="L13" s="316"/>
    </row>
    <row r="14" spans="1:12" ht="12" customHeight="1" thickBot="1">
      <c r="A14" s="405"/>
      <c r="B14" s="412" t="s">
        <v>398</v>
      </c>
      <c r="C14" s="463">
        <v>0</v>
      </c>
      <c r="D14" s="427" t="s">
        <v>287</v>
      </c>
      <c r="E14" s="428" t="s">
        <v>255</v>
      </c>
      <c r="F14" s="1253"/>
      <c r="G14" s="439"/>
      <c r="H14" s="416" t="s">
        <v>389</v>
      </c>
      <c r="I14" s="624" t="str">
        <f>IF(AND($C$8+$C$9=0,$C$10+$C$11=1,$C$12=2),"ДА","НЕТ")</f>
        <v>НЕТ</v>
      </c>
      <c r="J14" s="325"/>
      <c r="K14" s="319">
        <f t="shared" si="0"/>
        <v>0</v>
      </c>
      <c r="L14" s="316"/>
    </row>
    <row r="15" spans="1:12" ht="12" customHeight="1" thickBot="1">
      <c r="A15" s="405"/>
      <c r="B15" s="407" t="s">
        <v>147</v>
      </c>
      <c r="C15" s="464">
        <v>0</v>
      </c>
      <c r="D15" s="1242" t="s">
        <v>686</v>
      </c>
      <c r="E15" s="1243"/>
      <c r="F15" s="1244"/>
      <c r="G15" s="439"/>
      <c r="H15" s="437" t="s">
        <v>390</v>
      </c>
      <c r="I15" s="634" t="str">
        <f>IF(AND($C$8+$C$9=0,$C$10+$C$11=1,$C$12=2),"ДА","НЕТ")</f>
        <v>НЕТ</v>
      </c>
      <c r="J15" s="332"/>
      <c r="K15" s="475">
        <f t="shared" si="0"/>
        <v>0</v>
      </c>
      <c r="L15" s="316"/>
    </row>
    <row r="16" spans="1:12" ht="12" customHeight="1" thickBot="1">
      <c r="A16" s="405"/>
      <c r="B16" s="412" t="s">
        <v>146</v>
      </c>
      <c r="C16" s="463">
        <v>0</v>
      </c>
      <c r="D16" s="1248" t="s">
        <v>687</v>
      </c>
      <c r="E16" s="1249"/>
      <c r="F16" s="1250"/>
      <c r="G16" s="439"/>
      <c r="H16" s="564"/>
      <c r="I16" s="728"/>
      <c r="J16" s="336"/>
      <c r="K16" s="337"/>
      <c r="L16" s="316"/>
    </row>
    <row r="17" spans="1:12" ht="12" customHeight="1" thickBot="1">
      <c r="A17" s="405"/>
      <c r="B17" s="639"/>
      <c r="C17" s="639"/>
      <c r="D17" s="639"/>
      <c r="E17" s="639"/>
      <c r="F17" s="439"/>
      <c r="G17" s="439"/>
      <c r="H17" s="564"/>
      <c r="I17" s="728"/>
      <c r="J17" s="336"/>
      <c r="K17" s="337"/>
      <c r="L17" s="316"/>
    </row>
    <row r="18" spans="1:12" ht="12" customHeight="1" thickBot="1">
      <c r="A18" s="405"/>
      <c r="B18" s="494" t="s">
        <v>5</v>
      </c>
      <c r="C18" s="495" t="s">
        <v>0</v>
      </c>
      <c r="D18" s="496" t="s">
        <v>4</v>
      </c>
      <c r="E18" s="497" t="s">
        <v>8</v>
      </c>
      <c r="F18" s="439"/>
      <c r="G18" s="439"/>
      <c r="H18" s="439"/>
      <c r="I18" s="439"/>
      <c r="J18" s="439"/>
      <c r="K18" s="439"/>
      <c r="L18" s="316"/>
    </row>
    <row r="19" spans="1:12" ht="12" customHeight="1">
      <c r="A19" s="405"/>
      <c r="B19" s="451" t="s">
        <v>401</v>
      </c>
      <c r="C19" s="347">
        <f>(C2+C3)*(C6+C7)</f>
        <v>0</v>
      </c>
      <c r="D19" s="353">
        <v>1</v>
      </c>
      <c r="E19" s="344">
        <f t="shared" ref="E19:E43" si="1">C19*D19</f>
        <v>0</v>
      </c>
      <c r="F19" s="439"/>
      <c r="G19" s="439"/>
      <c r="H19" s="439"/>
      <c r="I19" s="439"/>
      <c r="J19" s="439"/>
      <c r="K19" s="439"/>
      <c r="L19" s="316"/>
    </row>
    <row r="20" spans="1:12" ht="12" customHeight="1">
      <c r="A20" s="405"/>
      <c r="B20" s="451" t="s">
        <v>402</v>
      </c>
      <c r="C20" s="347">
        <f>IF(C14=1,(C2+C3)*(C6+C7),0)</f>
        <v>0</v>
      </c>
      <c r="D20" s="353"/>
      <c r="E20" s="344">
        <f t="shared" si="1"/>
        <v>0</v>
      </c>
      <c r="F20" s="439"/>
      <c r="G20" s="439"/>
      <c r="H20" s="439"/>
      <c r="I20" s="439"/>
      <c r="J20" s="439"/>
      <c r="K20" s="439"/>
      <c r="L20" s="316"/>
    </row>
    <row r="21" spans="1:12" ht="12" customHeight="1">
      <c r="A21" s="405"/>
      <c r="B21" s="449" t="s">
        <v>399</v>
      </c>
      <c r="C21" s="342">
        <f>IF(AND(C13=1,C14=0),(C6+C7)*4,0)</f>
        <v>0</v>
      </c>
      <c r="D21" s="353"/>
      <c r="E21" s="344">
        <f t="shared" si="1"/>
        <v>0</v>
      </c>
      <c r="F21" s="439"/>
      <c r="G21" s="439"/>
      <c r="H21" s="439"/>
      <c r="I21" s="439"/>
      <c r="J21" s="439"/>
      <c r="K21" s="439"/>
      <c r="L21" s="316"/>
    </row>
    <row r="22" spans="1:12" ht="12" customHeight="1">
      <c r="A22" s="405"/>
      <c r="B22" s="449" t="s">
        <v>400</v>
      </c>
      <c r="C22" s="342">
        <f>IF(AND(C13=0,C14=1),(C6+C7)*2,0)</f>
        <v>0</v>
      </c>
      <c r="D22" s="353"/>
      <c r="E22" s="344">
        <f t="shared" si="1"/>
        <v>0</v>
      </c>
      <c r="F22" s="439"/>
      <c r="G22" s="439"/>
      <c r="H22" s="439"/>
      <c r="I22" s="439"/>
      <c r="J22" s="439"/>
      <c r="K22" s="439"/>
      <c r="L22" s="316"/>
    </row>
    <row r="23" spans="1:12" ht="12" customHeight="1">
      <c r="A23" s="405"/>
      <c r="B23" s="451" t="s">
        <v>641</v>
      </c>
      <c r="C23" s="347">
        <f>EVEN(ROUNDDOWN(IF((C6+C7)&gt;0,((C2+C3)/0.5)*(C6+C7),0),0))</f>
        <v>0</v>
      </c>
      <c r="D23" s="348"/>
      <c r="E23" s="344">
        <f t="shared" si="1"/>
        <v>0</v>
      </c>
      <c r="F23" s="439"/>
      <c r="G23" s="439"/>
      <c r="H23" s="439"/>
      <c r="I23" s="439"/>
      <c r="J23" s="439"/>
      <c r="K23" s="439"/>
      <c r="L23" s="316"/>
    </row>
    <row r="24" spans="1:12" ht="12" customHeight="1">
      <c r="A24" s="405"/>
      <c r="B24" s="449" t="s">
        <v>676</v>
      </c>
      <c r="C24" s="354">
        <f>(C2+C3)*(C6+C7)</f>
        <v>0</v>
      </c>
      <c r="D24" s="348"/>
      <c r="E24" s="344">
        <f t="shared" si="1"/>
        <v>0</v>
      </c>
      <c r="F24" s="439"/>
      <c r="G24" s="439"/>
      <c r="H24" s="439"/>
      <c r="I24" s="439"/>
      <c r="J24" s="439"/>
      <c r="K24" s="439"/>
      <c r="L24" s="316"/>
    </row>
    <row r="25" spans="1:12" ht="12" customHeight="1">
      <c r="A25" s="405"/>
      <c r="B25" s="451" t="s">
        <v>555</v>
      </c>
      <c r="C25" s="347">
        <f>C6+C7</f>
        <v>0</v>
      </c>
      <c r="D25" s="353"/>
      <c r="E25" s="344">
        <f t="shared" si="1"/>
        <v>0</v>
      </c>
      <c r="F25" s="439"/>
      <c r="G25" s="439"/>
      <c r="H25" s="439"/>
      <c r="I25" s="439"/>
      <c r="J25" s="439"/>
      <c r="K25" s="439"/>
      <c r="L25" s="316"/>
    </row>
    <row r="26" spans="1:12" ht="12" customHeight="1">
      <c r="A26" s="405"/>
      <c r="B26" s="451" t="s">
        <v>420</v>
      </c>
      <c r="C26" s="347">
        <f>IF((C8+C9)&gt;0,(C6+C7)*2,0)</f>
        <v>0</v>
      </c>
      <c r="D26" s="353"/>
      <c r="E26" s="344">
        <f t="shared" si="1"/>
        <v>0</v>
      </c>
      <c r="F26" s="439"/>
      <c r="G26" s="439"/>
      <c r="H26" s="439"/>
      <c r="I26" s="439"/>
      <c r="J26" s="439"/>
      <c r="K26" s="439"/>
      <c r="L26" s="316"/>
    </row>
    <row r="27" spans="1:12" ht="12" customHeight="1">
      <c r="A27" s="405"/>
      <c r="B27" s="451" t="s">
        <v>513</v>
      </c>
      <c r="C27" s="347">
        <f>IF((C10+C11)&gt;0,(C6+C7)*2,0)</f>
        <v>0</v>
      </c>
      <c r="D27" s="353"/>
      <c r="E27" s="344">
        <f t="shared" si="1"/>
        <v>0</v>
      </c>
      <c r="F27" s="439"/>
      <c r="G27" s="439"/>
      <c r="H27" s="439"/>
      <c r="I27" s="439"/>
      <c r="J27" s="439"/>
      <c r="K27" s="439"/>
      <c r="L27" s="316"/>
    </row>
    <row r="28" spans="1:12" ht="12" customHeight="1">
      <c r="A28" s="405"/>
      <c r="B28" s="449" t="s">
        <v>679</v>
      </c>
      <c r="C28" s="350">
        <f>(C6+C7)*2</f>
        <v>0</v>
      </c>
      <c r="D28" s="398"/>
      <c r="E28" s="344">
        <f t="shared" si="1"/>
        <v>0</v>
      </c>
      <c r="F28" s="439"/>
      <c r="G28" s="439"/>
      <c r="H28" s="439"/>
      <c r="I28" s="439"/>
      <c r="J28" s="439"/>
      <c r="K28" s="439"/>
      <c r="L28" s="316"/>
    </row>
    <row r="29" spans="1:12" ht="12" customHeight="1">
      <c r="A29" s="405"/>
      <c r="B29" s="451" t="s">
        <v>644</v>
      </c>
      <c r="C29" s="347">
        <f>(C6+C7)*3</f>
        <v>0</v>
      </c>
      <c r="D29" s="348"/>
      <c r="E29" s="344">
        <v>0</v>
      </c>
      <c r="F29" s="439"/>
      <c r="G29" s="439"/>
      <c r="H29" s="439"/>
      <c r="I29" s="439"/>
      <c r="J29" s="439"/>
      <c r="K29" s="439"/>
      <c r="L29" s="316"/>
    </row>
    <row r="30" spans="1:12" ht="12" customHeight="1">
      <c r="A30" s="405"/>
      <c r="B30" s="680" t="s">
        <v>424</v>
      </c>
      <c r="C30" s="399">
        <f>(C6+C7)*6</f>
        <v>0</v>
      </c>
      <c r="D30" s="263"/>
      <c r="E30" s="273">
        <v>0</v>
      </c>
      <c r="F30" s="439"/>
      <c r="G30" s="439"/>
      <c r="H30" s="439"/>
      <c r="I30" s="439"/>
      <c r="J30" s="439"/>
      <c r="K30" s="439"/>
      <c r="L30" s="316"/>
    </row>
    <row r="31" spans="1:12" ht="12" customHeight="1">
      <c r="A31" s="405"/>
      <c r="B31" s="451" t="s">
        <v>432</v>
      </c>
      <c r="C31" s="342">
        <f>C6*2</f>
        <v>0</v>
      </c>
      <c r="D31" s="396"/>
      <c r="E31" s="344">
        <f t="shared" si="1"/>
        <v>0</v>
      </c>
      <c r="F31" s="439"/>
      <c r="G31" s="439"/>
      <c r="H31" s="439"/>
      <c r="I31" s="439"/>
      <c r="J31" s="439"/>
      <c r="K31" s="439"/>
      <c r="L31" s="316"/>
    </row>
    <row r="32" spans="1:12" ht="12" customHeight="1">
      <c r="A32" s="405"/>
      <c r="B32" s="451" t="s">
        <v>433</v>
      </c>
      <c r="C32" s="347">
        <f>C6*4</f>
        <v>0</v>
      </c>
      <c r="D32" s="353"/>
      <c r="E32" s="344">
        <f t="shared" si="1"/>
        <v>0</v>
      </c>
      <c r="F32" s="439"/>
      <c r="G32" s="439"/>
      <c r="H32" s="439"/>
      <c r="I32" s="439"/>
      <c r="J32" s="439"/>
      <c r="K32" s="439"/>
      <c r="L32" s="316"/>
    </row>
    <row r="33" spans="1:12" ht="12" customHeight="1">
      <c r="A33" s="405"/>
      <c r="B33" s="451" t="s">
        <v>434</v>
      </c>
      <c r="C33" s="347">
        <f>C7*2</f>
        <v>0</v>
      </c>
      <c r="D33" s="353"/>
      <c r="E33" s="344">
        <f t="shared" si="1"/>
        <v>0</v>
      </c>
      <c r="F33" s="439"/>
      <c r="G33" s="439"/>
      <c r="H33" s="439"/>
      <c r="I33" s="439"/>
      <c r="J33" s="439"/>
      <c r="K33" s="439"/>
      <c r="L33" s="316"/>
    </row>
    <row r="34" spans="1:12" ht="12" customHeight="1">
      <c r="A34" s="405"/>
      <c r="B34" s="449" t="s">
        <v>474</v>
      </c>
      <c r="C34" s="347">
        <f>(C2+C3)*(C6+C7)*2</f>
        <v>0</v>
      </c>
      <c r="D34" s="353"/>
      <c r="E34" s="344">
        <f t="shared" si="1"/>
        <v>0</v>
      </c>
      <c r="F34" s="439"/>
      <c r="G34" s="439"/>
      <c r="H34" s="439"/>
      <c r="I34" s="439"/>
      <c r="J34" s="439"/>
      <c r="K34" s="439"/>
      <c r="L34" s="316"/>
    </row>
    <row r="35" spans="1:12" ht="12" customHeight="1">
      <c r="A35" s="405"/>
      <c r="B35" s="449" t="s">
        <v>461</v>
      </c>
      <c r="C35" s="354">
        <f>IF(AND(C6&gt;0,C7=0),(C2+C3)*C6,0)</f>
        <v>0</v>
      </c>
      <c r="D35" s="353"/>
      <c r="E35" s="344">
        <f t="shared" si="1"/>
        <v>0</v>
      </c>
      <c r="F35" s="439"/>
      <c r="G35" s="439"/>
      <c r="H35" s="439"/>
      <c r="I35" s="439"/>
      <c r="J35" s="439"/>
      <c r="K35" s="439"/>
      <c r="L35" s="316"/>
    </row>
    <row r="36" spans="1:12" ht="12" customHeight="1">
      <c r="A36" s="405"/>
      <c r="B36" s="449" t="s">
        <v>462</v>
      </c>
      <c r="C36" s="354">
        <f>IF(AND(C7&gt;0,C6=0),(C2+C3)*C6,0)</f>
        <v>0</v>
      </c>
      <c r="D36" s="353"/>
      <c r="E36" s="344">
        <f t="shared" si="1"/>
        <v>0</v>
      </c>
      <c r="F36" s="439"/>
      <c r="G36" s="439"/>
      <c r="H36" s="439"/>
      <c r="I36" s="439"/>
      <c r="J36" s="439"/>
      <c r="K36" s="439"/>
      <c r="L36" s="316"/>
    </row>
    <row r="37" spans="1:12" ht="12" customHeight="1">
      <c r="A37" s="405"/>
      <c r="B37" s="451" t="s">
        <v>647</v>
      </c>
      <c r="C37" s="354">
        <f>(C6+C7)*2</f>
        <v>0</v>
      </c>
      <c r="D37" s="353"/>
      <c r="E37" s="344">
        <f t="shared" si="1"/>
        <v>0</v>
      </c>
      <c r="F37" s="439"/>
      <c r="G37" s="439"/>
      <c r="H37" s="439"/>
      <c r="I37" s="439"/>
      <c r="J37" s="439"/>
      <c r="K37" s="439"/>
      <c r="L37" s="316"/>
    </row>
    <row r="38" spans="1:12" ht="12" customHeight="1">
      <c r="A38" s="405"/>
      <c r="B38" s="452" t="s">
        <v>378</v>
      </c>
      <c r="C38" s="354">
        <f>C8*C6*2</f>
        <v>0</v>
      </c>
      <c r="D38" s="353"/>
      <c r="E38" s="344">
        <f t="shared" si="1"/>
        <v>0</v>
      </c>
      <c r="F38" s="439"/>
      <c r="G38" s="439"/>
      <c r="H38" s="439"/>
      <c r="I38" s="439"/>
      <c r="J38" s="439"/>
      <c r="K38" s="439"/>
      <c r="L38" s="316"/>
    </row>
    <row r="39" spans="1:12" ht="12" customHeight="1">
      <c r="A39" s="405"/>
      <c r="B39" s="452" t="s">
        <v>598</v>
      </c>
      <c r="C39" s="354">
        <f>C10*C8*2</f>
        <v>0</v>
      </c>
      <c r="D39" s="353"/>
      <c r="E39" s="344">
        <f t="shared" si="1"/>
        <v>0</v>
      </c>
      <c r="F39" s="439"/>
      <c r="G39" s="439"/>
      <c r="H39" s="439"/>
      <c r="I39" s="439"/>
      <c r="J39" s="439"/>
      <c r="K39" s="439"/>
      <c r="L39" s="316"/>
    </row>
    <row r="40" spans="1:12" ht="12" customHeight="1">
      <c r="A40" s="405"/>
      <c r="B40" s="452" t="s">
        <v>436</v>
      </c>
      <c r="C40" s="354">
        <f>C9*C7*2</f>
        <v>0</v>
      </c>
      <c r="D40" s="353"/>
      <c r="E40" s="344">
        <f t="shared" si="1"/>
        <v>0</v>
      </c>
      <c r="F40" s="439"/>
      <c r="G40" s="439"/>
      <c r="H40" s="439"/>
      <c r="I40" s="439"/>
      <c r="J40" s="439"/>
      <c r="K40" s="439"/>
      <c r="L40" s="316"/>
    </row>
    <row r="41" spans="1:12" ht="12" customHeight="1">
      <c r="A41" s="405"/>
      <c r="B41" s="525" t="s">
        <v>145</v>
      </c>
      <c r="C41" s="506">
        <f>C16</f>
        <v>0</v>
      </c>
      <c r="D41" s="522"/>
      <c r="E41" s="400">
        <f t="shared" si="1"/>
        <v>0</v>
      </c>
      <c r="F41" s="439"/>
      <c r="G41" s="439"/>
      <c r="H41" s="439"/>
      <c r="I41" s="439"/>
      <c r="J41" s="439"/>
      <c r="K41" s="439"/>
      <c r="L41" s="316"/>
    </row>
    <row r="42" spans="1:12" ht="12" customHeight="1">
      <c r="A42" s="405"/>
      <c r="B42" s="525" t="s">
        <v>148</v>
      </c>
      <c r="C42" s="506">
        <f>C15</f>
        <v>0</v>
      </c>
      <c r="D42" s="522"/>
      <c r="E42" s="400">
        <f t="shared" si="1"/>
        <v>0</v>
      </c>
      <c r="F42" s="439"/>
      <c r="G42" s="439"/>
      <c r="H42" s="439"/>
      <c r="I42" s="439"/>
      <c r="J42" s="439"/>
      <c r="K42" s="439"/>
      <c r="L42" s="316"/>
    </row>
    <row r="43" spans="1:12" ht="12" customHeight="1" thickBot="1">
      <c r="A43" s="405"/>
      <c r="B43" s="454" t="s">
        <v>599</v>
      </c>
      <c r="C43" s="402">
        <f>C11*C7*2</f>
        <v>0</v>
      </c>
      <c r="D43" s="473"/>
      <c r="E43" s="404">
        <f t="shared" si="1"/>
        <v>0</v>
      </c>
      <c r="F43" s="439"/>
      <c r="G43" s="439"/>
      <c r="H43" s="439"/>
      <c r="I43" s="439"/>
      <c r="J43" s="439"/>
      <c r="K43" s="439"/>
      <c r="L43" s="316"/>
    </row>
    <row r="44" spans="1:12" ht="12" customHeight="1" thickBot="1">
      <c r="A44" s="405"/>
      <c r="B44" s="439"/>
      <c r="C44" s="439"/>
      <c r="D44" s="455" t="s">
        <v>9</v>
      </c>
      <c r="E44" s="527">
        <f>SUMIF(E19:E43,"&gt;0",E19:E43)</f>
        <v>0</v>
      </c>
      <c r="F44" s="439"/>
      <c r="G44" s="439"/>
      <c r="H44" s="439"/>
      <c r="I44" s="439"/>
      <c r="J44" s="439"/>
      <c r="K44" s="439"/>
      <c r="L44" s="316"/>
    </row>
    <row r="45" spans="1:12">
      <c r="A45" s="405"/>
      <c r="B45" s="439"/>
      <c r="C45" s="439"/>
      <c r="D45" s="439"/>
      <c r="E45" s="439"/>
      <c r="F45" s="439"/>
      <c r="G45" s="439"/>
      <c r="H45" s="439"/>
      <c r="I45" s="439"/>
      <c r="J45" s="439"/>
      <c r="K45" s="439"/>
      <c r="L45" s="316"/>
    </row>
    <row r="46" spans="1:12">
      <c r="A46" s="405"/>
      <c r="B46" s="439"/>
      <c r="C46" s="439"/>
      <c r="D46" s="439"/>
      <c r="E46" s="439"/>
      <c r="F46" s="439"/>
      <c r="G46" s="439"/>
      <c r="H46" s="439"/>
      <c r="I46" s="439"/>
      <c r="J46" s="439"/>
      <c r="K46" s="439"/>
      <c r="L46" s="316"/>
    </row>
    <row r="47" spans="1:12" ht="11.25" customHeight="1">
      <c r="A47" s="405"/>
      <c r="B47" s="439"/>
      <c r="C47" s="439"/>
      <c r="D47" s="439"/>
      <c r="E47" s="439"/>
      <c r="F47" s="439"/>
      <c r="G47" s="439"/>
      <c r="H47" s="439"/>
      <c r="I47" s="439"/>
      <c r="J47" s="439"/>
      <c r="K47" s="439"/>
      <c r="L47" s="316"/>
    </row>
    <row r="48" spans="1:12">
      <c r="A48" s="405"/>
      <c r="B48" s="439"/>
      <c r="C48" s="439"/>
      <c r="D48" s="439"/>
      <c r="E48" s="439"/>
      <c r="F48" s="439"/>
      <c r="G48" s="439"/>
      <c r="H48" s="439"/>
      <c r="I48" s="439"/>
      <c r="J48" s="439"/>
      <c r="K48" s="439"/>
      <c r="L48" s="316"/>
    </row>
    <row r="49" spans="2:12">
      <c r="B49" s="316"/>
      <c r="C49" s="316"/>
      <c r="D49" s="316"/>
      <c r="E49" s="316"/>
      <c r="F49" s="316"/>
      <c r="G49" s="316"/>
      <c r="H49" s="316"/>
      <c r="I49" s="316"/>
      <c r="J49" s="316"/>
      <c r="K49" s="316"/>
      <c r="L49" s="316"/>
    </row>
    <row r="50" spans="2:12">
      <c r="B50" s="316"/>
      <c r="C50" s="316"/>
      <c r="D50" s="316"/>
      <c r="E50" s="316"/>
      <c r="F50" s="316"/>
      <c r="G50" s="316"/>
      <c r="H50" s="316"/>
      <c r="I50" s="316"/>
      <c r="J50" s="316"/>
      <c r="K50" s="316"/>
      <c r="L50" s="316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250" priority="34" operator="greaterThan">
      <formula>0</formula>
    </cfRule>
  </conditionalFormatting>
  <conditionalFormatting sqref="C12">
    <cfRule type="cellIs" dxfId="249" priority="35" operator="greaterThan">
      <formula>0</formula>
    </cfRule>
  </conditionalFormatting>
  <conditionalFormatting sqref="C12">
    <cfRule type="cellIs" dxfId="248" priority="39" operator="greaterThan">
      <formula>0</formula>
    </cfRule>
  </conditionalFormatting>
  <conditionalFormatting sqref="C12">
    <cfRule type="cellIs" dxfId="247" priority="38" operator="greaterThan">
      <formula>0</formula>
    </cfRule>
  </conditionalFormatting>
  <conditionalFormatting sqref="C12">
    <cfRule type="cellIs" dxfId="246" priority="37" operator="greaterThan">
      <formula>0</formula>
    </cfRule>
  </conditionalFormatting>
  <conditionalFormatting sqref="C12">
    <cfRule type="cellIs" dxfId="245" priority="36" operator="greaterThan">
      <formula>0</formula>
    </cfRule>
  </conditionalFormatting>
  <conditionalFormatting sqref="J3:K17">
    <cfRule type="cellIs" dxfId="244" priority="6" operator="greaterThan">
      <formula>0</formula>
    </cfRule>
    <cfRule type="cellIs" dxfId="243" priority="10" operator="greaterThan">
      <formula>0</formula>
    </cfRule>
  </conditionalFormatting>
  <conditionalFormatting sqref="J3:J17">
    <cfRule type="cellIs" dxfId="242" priority="11" operator="greaterThan">
      <formula>0</formula>
    </cfRule>
    <cfRule type="cellIs" dxfId="241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240" priority="28" operator="equal">
      <formula>"ДА"</formula>
    </cfRule>
    <cfRule type="cellIs" dxfId="239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8" priority="25" operator="equal">
      <formula>"ДА"</formula>
    </cfRule>
    <cfRule type="cellIs" dxfId="237" priority="26" operator="equal">
      <formula>"НЕТ"</formula>
    </cfRule>
  </conditionalFormatting>
  <conditionalFormatting sqref="I5">
    <cfRule type="cellIs" dxfId="236" priority="22" operator="equal">
      <formula>"ДА"</formula>
    </cfRule>
    <cfRule type="cellIs" dxfId="235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232" priority="14" operator="equal">
      <formula>"ДА"</formula>
    </cfRule>
    <cfRule type="cellIs" dxfId="231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230" priority="13" operator="greaterThan">
      <formula>0</formula>
    </cfRule>
  </conditionalFormatting>
  <conditionalFormatting sqref="C2:C14">
    <cfRule type="cellIs" dxfId="229" priority="9" operator="greaterThan">
      <formula>0</formula>
    </cfRule>
  </conditionalFormatting>
  <conditionalFormatting sqref="C19:E29 C31:E40 C43:E43">
    <cfRule type="cellIs" dxfId="228" priority="8" operator="greaterThan">
      <formula>0</formula>
    </cfRule>
  </conditionalFormatting>
  <conditionalFormatting sqref="E44">
    <cfRule type="cellIs" dxfId="227" priority="7" operator="greaterThan">
      <formula>0</formula>
    </cfRule>
  </conditionalFormatting>
  <conditionalFormatting sqref="C30">
    <cfRule type="cellIs" dxfId="226" priority="3" operator="greaterThan">
      <formula>0</formula>
    </cfRule>
  </conditionalFormatting>
  <conditionalFormatting sqref="D30:E30">
    <cfRule type="cellIs" dxfId="225" priority="5" operator="greaterThan">
      <formula>0</formula>
    </cfRule>
  </conditionalFormatting>
  <conditionalFormatting sqref="C30">
    <cfRule type="cellIs" dxfId="224" priority="4" operator="greaterThan">
      <formula>0</formula>
    </cfRule>
  </conditionalFormatting>
  <conditionalFormatting sqref="C15:C16">
    <cfRule type="cellIs" dxfId="223" priority="2" operator="greaterThan">
      <formula>0</formula>
    </cfRule>
  </conditionalFormatting>
  <conditionalFormatting sqref="C41:E42">
    <cfRule type="cellIs" dxfId="2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1" activePane="bottomLeft" state="frozen"/>
      <selection pane="bottomLeft" activeCell="H3" sqref="H3:K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05"/>
      <c r="B1" s="1306"/>
      <c r="C1" s="1306"/>
      <c r="D1" s="1306"/>
      <c r="E1" s="1306"/>
      <c r="F1" s="405"/>
      <c r="G1" s="405"/>
      <c r="H1" s="405"/>
      <c r="I1" s="405"/>
      <c r="J1" s="405"/>
      <c r="K1" s="405"/>
      <c r="L1" s="405"/>
      <c r="M1" s="405"/>
    </row>
    <row r="2" spans="1:13" ht="12" customHeight="1" thickBot="1">
      <c r="A2" s="405"/>
      <c r="B2" s="652" t="s">
        <v>556</v>
      </c>
      <c r="C2" s="608">
        <v>0</v>
      </c>
      <c r="D2" s="1231" t="s">
        <v>595</v>
      </c>
      <c r="E2" s="1232"/>
      <c r="F2" s="1233"/>
      <c r="G2" s="405"/>
      <c r="H2" s="409" t="s">
        <v>485</v>
      </c>
      <c r="I2" s="688" t="s">
        <v>604</v>
      </c>
      <c r="J2" s="410" t="s">
        <v>4</v>
      </c>
      <c r="K2" s="411" t="s">
        <v>8</v>
      </c>
      <c r="L2" s="405"/>
      <c r="M2" s="405"/>
    </row>
    <row r="3" spans="1:13" ht="12" customHeight="1">
      <c r="A3" s="405"/>
      <c r="B3" s="653" t="s">
        <v>557</v>
      </c>
      <c r="C3" s="251">
        <v>0</v>
      </c>
      <c r="D3" s="1251"/>
      <c r="E3" s="1237"/>
      <c r="F3" s="1238"/>
      <c r="G3" s="405"/>
      <c r="H3" s="413" t="s">
        <v>489</v>
      </c>
      <c r="I3" s="623" t="str">
        <f>IF(AND($C$9+$C$10+$C$11=1,$C$12+$C$13+$C$14=0,$C$15=1),"ДА","НЕТ")</f>
        <v>НЕТ</v>
      </c>
      <c r="J3" s="610"/>
      <c r="K3" s="319">
        <f>IF(I3="ДА",($C$6+$C$7+$C$8)*J3,0)</f>
        <v>0</v>
      </c>
      <c r="L3" s="405"/>
      <c r="M3" s="405"/>
    </row>
    <row r="4" spans="1:13" ht="12" customHeight="1">
      <c r="A4" s="405"/>
      <c r="B4" s="702" t="s">
        <v>558</v>
      </c>
      <c r="C4" s="618">
        <v>0</v>
      </c>
      <c r="D4" s="1251"/>
      <c r="E4" s="1237"/>
      <c r="F4" s="1238"/>
      <c r="G4" s="405"/>
      <c r="H4" s="418" t="s">
        <v>486</v>
      </c>
      <c r="I4" s="624" t="str">
        <f>IF(AND($C$9+$C$10+$C$11=1,$C$12+$C$13+$C$14=0,$C$15=3),"ДА","НЕТ")</f>
        <v>НЕТ</v>
      </c>
      <c r="J4" s="611"/>
      <c r="K4" s="323">
        <f t="shared" ref="K4:K19" si="0">IF(I4="ДА",($C$6+$C$7+$C$8)*J4,0)</f>
        <v>0</v>
      </c>
      <c r="L4" s="405"/>
      <c r="M4" s="405"/>
    </row>
    <row r="5" spans="1:13" ht="12" customHeight="1" thickBot="1">
      <c r="A5" s="405"/>
      <c r="B5" s="703" t="s">
        <v>559</v>
      </c>
      <c r="C5" s="609">
        <v>0</v>
      </c>
      <c r="D5" s="1234"/>
      <c r="E5" s="1235"/>
      <c r="F5" s="1236"/>
      <c r="G5" s="405"/>
      <c r="H5" s="418" t="s">
        <v>591</v>
      </c>
      <c r="I5" s="624" t="str">
        <f>IF(AND($C$9+$C$10+$C$11=1,$C$12+$C$13+$C$14=0,$C$15=3),"ДА","НЕТ")</f>
        <v>НЕТ</v>
      </c>
      <c r="J5" s="611"/>
      <c r="K5" s="323">
        <f t="shared" si="0"/>
        <v>0</v>
      </c>
      <c r="L5" s="405"/>
      <c r="M5" s="405"/>
    </row>
    <row r="6" spans="1:13" ht="12" customHeight="1">
      <c r="A6" s="405"/>
      <c r="B6" s="652" t="s">
        <v>562</v>
      </c>
      <c r="C6" s="583">
        <v>0</v>
      </c>
      <c r="D6" s="1231" t="s">
        <v>597</v>
      </c>
      <c r="E6" s="1232"/>
      <c r="F6" s="1233"/>
      <c r="G6" s="489"/>
      <c r="H6" s="418" t="s">
        <v>487</v>
      </c>
      <c r="I6" s="624" t="str">
        <f>IF(AND($C$9+$C$10+$C$11=1,$C$12+$C$13+$C$14=0,$C$15=2),"ДА","НЕТ")</f>
        <v>НЕТ</v>
      </c>
      <c r="J6" s="611"/>
      <c r="K6" s="323">
        <f t="shared" si="0"/>
        <v>0</v>
      </c>
      <c r="L6" s="405"/>
      <c r="M6" s="405"/>
    </row>
    <row r="7" spans="1:13" ht="12" customHeight="1">
      <c r="A7" s="405"/>
      <c r="B7" s="653" t="s">
        <v>561</v>
      </c>
      <c r="C7" s="584">
        <v>0</v>
      </c>
      <c r="D7" s="1251"/>
      <c r="E7" s="1237"/>
      <c r="F7" s="1238"/>
      <c r="G7" s="523"/>
      <c r="H7" s="418" t="s">
        <v>488</v>
      </c>
      <c r="I7" s="624" t="str">
        <f>IF(AND($C$9+$C$10+$C$11=1,$C$12+$C$13+$C$14=0,$C$15=2),"ДА","НЕТ")</f>
        <v>НЕТ</v>
      </c>
      <c r="J7" s="611"/>
      <c r="K7" s="323">
        <f t="shared" si="0"/>
        <v>0</v>
      </c>
      <c r="L7" s="405"/>
      <c r="M7" s="405"/>
    </row>
    <row r="8" spans="1:13" ht="12" customHeight="1" thickBot="1">
      <c r="A8" s="405"/>
      <c r="B8" s="654" t="s">
        <v>678</v>
      </c>
      <c r="C8" s="582">
        <v>0</v>
      </c>
      <c r="D8" s="1234"/>
      <c r="E8" s="1235"/>
      <c r="F8" s="1236"/>
      <c r="G8" s="523"/>
      <c r="H8" s="418" t="s">
        <v>494</v>
      </c>
      <c r="I8" s="624" t="str">
        <f>IF(AND($C$9+$C$10+$C$11=1,$C$12+$C$13+$C$14=0,$C$15=2),"ДА","НЕТ")</f>
        <v>НЕТ</v>
      </c>
      <c r="J8" s="611"/>
      <c r="K8" s="323">
        <f t="shared" si="0"/>
        <v>0</v>
      </c>
      <c r="L8" s="405"/>
      <c r="M8" s="405"/>
    </row>
    <row r="9" spans="1:13" ht="12" customHeight="1">
      <c r="A9" s="405"/>
      <c r="B9" s="652" t="s">
        <v>498</v>
      </c>
      <c r="C9" s="575">
        <v>0</v>
      </c>
      <c r="D9" s="666" t="s">
        <v>287</v>
      </c>
      <c r="E9" s="704" t="s">
        <v>255</v>
      </c>
      <c r="F9" s="1239" t="s">
        <v>597</v>
      </c>
      <c r="G9" s="405"/>
      <c r="H9" s="413" t="s">
        <v>590</v>
      </c>
      <c r="I9" s="624" t="str">
        <f>IF(AND($C$9+$C$10+$C$11=1,$C$12+$C$13+$C$14=0,$C$15=1),"ДА","НЕТ")</f>
        <v>НЕТ</v>
      </c>
      <c r="J9" s="610"/>
      <c r="K9" s="319">
        <f t="shared" si="0"/>
        <v>0</v>
      </c>
      <c r="L9" s="405"/>
      <c r="M9" s="405"/>
    </row>
    <row r="10" spans="1:13" ht="12" customHeight="1">
      <c r="A10" s="405"/>
      <c r="B10" s="653" t="s">
        <v>499</v>
      </c>
      <c r="C10" s="581">
        <v>0</v>
      </c>
      <c r="D10" s="658" t="s">
        <v>287</v>
      </c>
      <c r="E10" s="705" t="s">
        <v>255</v>
      </c>
      <c r="F10" s="1240"/>
      <c r="G10" s="405"/>
      <c r="H10" s="413" t="s">
        <v>383</v>
      </c>
      <c r="I10" s="624" t="str">
        <f>IF(AND($C$9+$C$10+$C$11+$C$14=0,$C$12+$C$13=1,$C$15=1),"ДА","НЕТ")</f>
        <v>НЕТ</v>
      </c>
      <c r="J10" s="612"/>
      <c r="K10" s="326">
        <f t="shared" si="0"/>
        <v>0</v>
      </c>
      <c r="L10" s="405"/>
      <c r="M10" s="405"/>
    </row>
    <row r="11" spans="1:13" ht="12" customHeight="1">
      <c r="A11" s="405"/>
      <c r="B11" s="653" t="s">
        <v>587</v>
      </c>
      <c r="C11" s="581">
        <v>0</v>
      </c>
      <c r="D11" s="658" t="s">
        <v>287</v>
      </c>
      <c r="E11" s="705" t="s">
        <v>255</v>
      </c>
      <c r="F11" s="1240"/>
      <c r="G11" s="405"/>
      <c r="H11" s="416" t="s">
        <v>384</v>
      </c>
      <c r="I11" s="624" t="str">
        <f>IF(AND($C$9+$C$10+$C$11+$C$14=0,$C$12+$C$13=1,$C$15=1),"ДА","НЕТ")</f>
        <v>НЕТ</v>
      </c>
      <c r="J11" s="612"/>
      <c r="K11" s="326">
        <f t="shared" si="0"/>
        <v>0</v>
      </c>
      <c r="L11" s="405"/>
      <c r="M11" s="405"/>
    </row>
    <row r="12" spans="1:13" ht="12" customHeight="1">
      <c r="A12" s="405"/>
      <c r="B12" s="655" t="s">
        <v>500</v>
      </c>
      <c r="C12" s="578">
        <v>0</v>
      </c>
      <c r="D12" s="656" t="s">
        <v>287</v>
      </c>
      <c r="E12" s="706" t="s">
        <v>255</v>
      </c>
      <c r="F12" s="1240"/>
      <c r="G12" s="405"/>
      <c r="H12" s="416" t="s">
        <v>385</v>
      </c>
      <c r="I12" s="624" t="str">
        <f>IF(AND($C$9+$C$10+$C$11+$C$14=0,$C$12+$C$13=1,$C$15=1),"ДА","НЕТ")</f>
        <v>НЕТ</v>
      </c>
      <c r="J12" s="613"/>
      <c r="K12" s="326">
        <f t="shared" si="0"/>
        <v>0</v>
      </c>
      <c r="L12" s="405"/>
      <c r="M12" s="405"/>
    </row>
    <row r="13" spans="1:13" ht="12" customHeight="1">
      <c r="A13" s="405"/>
      <c r="B13" s="653" t="s">
        <v>501</v>
      </c>
      <c r="C13" s="581">
        <v>0</v>
      </c>
      <c r="D13" s="658" t="s">
        <v>287</v>
      </c>
      <c r="E13" s="705" t="s">
        <v>255</v>
      </c>
      <c r="F13" s="1240"/>
      <c r="G13" s="405"/>
      <c r="H13" s="416" t="s">
        <v>592</v>
      </c>
      <c r="I13" s="624" t="str">
        <f>IF(AND($C$9+$C$10+C11+$C$12+$C$13=0,$C$14=1,$C$15=1),"ДА","НЕТ")</f>
        <v>НЕТ</v>
      </c>
      <c r="J13" s="613"/>
      <c r="K13" s="326">
        <f t="shared" si="0"/>
        <v>0</v>
      </c>
      <c r="L13" s="405"/>
      <c r="M13" s="405"/>
    </row>
    <row r="14" spans="1:13" ht="12" customHeight="1" thickBot="1">
      <c r="A14" s="405"/>
      <c r="B14" s="654" t="s">
        <v>588</v>
      </c>
      <c r="C14" s="585">
        <v>0</v>
      </c>
      <c r="D14" s="668" t="s">
        <v>287</v>
      </c>
      <c r="E14" s="707" t="s">
        <v>255</v>
      </c>
      <c r="F14" s="1241"/>
      <c r="G14" s="405"/>
      <c r="H14" s="416" t="s">
        <v>592</v>
      </c>
      <c r="I14" s="624" t="str">
        <f>IF(AND($C$9+$C$10+C12+$C$12+$C$13=0,$C$14=1,$C$15=1),"ДА","НЕТ")</f>
        <v>НЕТ</v>
      </c>
      <c r="J14" s="613"/>
      <c r="K14" s="326">
        <f t="shared" si="0"/>
        <v>0</v>
      </c>
      <c r="L14" s="405"/>
      <c r="M14" s="405"/>
    </row>
    <row r="15" spans="1:13" ht="12" customHeight="1" thickBot="1">
      <c r="A15" s="405"/>
      <c r="B15" s="514" t="s">
        <v>589</v>
      </c>
      <c r="C15" s="620">
        <v>0</v>
      </c>
      <c r="D15" s="626" t="s">
        <v>619</v>
      </c>
      <c r="E15" s="516" t="s">
        <v>620</v>
      </c>
      <c r="F15" s="517" t="s">
        <v>621</v>
      </c>
      <c r="G15" s="405"/>
      <c r="H15" s="413" t="s">
        <v>388</v>
      </c>
      <c r="I15" s="624" t="str">
        <f>IF(AND($C$9+$C$10+$C$11+$C$14=0,$C$12+$C$13=1,$C$15=2),"ДА","НЕТ")</f>
        <v>НЕТ</v>
      </c>
      <c r="J15" s="612"/>
      <c r="K15" s="326">
        <f t="shared" si="0"/>
        <v>0</v>
      </c>
      <c r="L15" s="405"/>
      <c r="M15" s="405"/>
    </row>
    <row r="16" spans="1:13" ht="12" customHeight="1">
      <c r="A16" s="405"/>
      <c r="B16" s="652" t="s">
        <v>361</v>
      </c>
      <c r="C16" s="575">
        <v>0</v>
      </c>
      <c r="D16" s="666" t="s">
        <v>287</v>
      </c>
      <c r="E16" s="704" t="s">
        <v>255</v>
      </c>
      <c r="F16" s="1239" t="s">
        <v>597</v>
      </c>
      <c r="G16" s="405"/>
      <c r="H16" s="416" t="s">
        <v>389</v>
      </c>
      <c r="I16" s="624" t="str">
        <f>IF(AND($C$9+$C$10+$C$11+$C$14=0,$C$12+$C$13=1,$C$15=2),"ДА","НЕТ")</f>
        <v>НЕТ</v>
      </c>
      <c r="J16" s="612"/>
      <c r="K16" s="326">
        <f t="shared" si="0"/>
        <v>0</v>
      </c>
      <c r="L16" s="405"/>
      <c r="M16" s="405"/>
    </row>
    <row r="17" spans="1:13" ht="12" customHeight="1">
      <c r="A17" s="405"/>
      <c r="B17" s="653" t="s">
        <v>362</v>
      </c>
      <c r="C17" s="581">
        <v>0</v>
      </c>
      <c r="D17" s="658" t="s">
        <v>287</v>
      </c>
      <c r="E17" s="705" t="s">
        <v>255</v>
      </c>
      <c r="F17" s="1240"/>
      <c r="G17" s="405"/>
      <c r="H17" s="416" t="s">
        <v>390</v>
      </c>
      <c r="I17" s="624" t="str">
        <f>IF(AND($C$9+$C$10+$C$11+$C$14=0,$C$12+$C$13=1,$C$15=2),"ДА","НЕТ")</f>
        <v>НЕТ</v>
      </c>
      <c r="J17" s="612"/>
      <c r="K17" s="323">
        <f t="shared" si="0"/>
        <v>0</v>
      </c>
      <c r="L17" s="405"/>
      <c r="M17" s="405"/>
    </row>
    <row r="18" spans="1:13" ht="12" customHeight="1">
      <c r="A18" s="405"/>
      <c r="B18" s="653" t="s">
        <v>467</v>
      </c>
      <c r="C18" s="581">
        <v>0</v>
      </c>
      <c r="D18" s="658" t="s">
        <v>287</v>
      </c>
      <c r="E18" s="705" t="s">
        <v>255</v>
      </c>
      <c r="F18" s="1240"/>
      <c r="G18" s="405"/>
      <c r="H18" s="413" t="s">
        <v>593</v>
      </c>
      <c r="I18" s="623" t="str">
        <f>IF(AND($C$9+$C$10+C16+$C$12+$C$13=0,$C$14=1,$C$15=2),"ДА","НЕТ")</f>
        <v>НЕТ</v>
      </c>
      <c r="J18" s="614"/>
      <c r="K18" s="330">
        <f t="shared" si="0"/>
        <v>0</v>
      </c>
      <c r="L18" s="405"/>
      <c r="M18" s="405"/>
    </row>
    <row r="19" spans="1:13" ht="12" customHeight="1" thickBot="1">
      <c r="A19" s="405"/>
      <c r="B19" s="703" t="s">
        <v>466</v>
      </c>
      <c r="C19" s="576">
        <v>0</v>
      </c>
      <c r="D19" s="668" t="s">
        <v>287</v>
      </c>
      <c r="E19" s="707" t="s">
        <v>255</v>
      </c>
      <c r="F19" s="1241"/>
      <c r="G19" s="405"/>
      <c r="H19" s="437" t="s">
        <v>594</v>
      </c>
      <c r="I19" s="634" t="str">
        <f>IF(AND($C$9+$C$10+C17+$C$12+$C$13=0,$C$14=1,$C$15=2),"ДА","НЕТ")</f>
        <v>НЕТ</v>
      </c>
      <c r="J19" s="615"/>
      <c r="K19" s="333">
        <f t="shared" si="0"/>
        <v>0</v>
      </c>
      <c r="L19" s="405"/>
      <c r="M19" s="405"/>
    </row>
    <row r="20" spans="1:13" ht="12" customHeight="1">
      <c r="A20" s="405"/>
      <c r="B20" s="407" t="s">
        <v>147</v>
      </c>
      <c r="C20" s="464">
        <v>0</v>
      </c>
      <c r="D20" s="1242" t="s">
        <v>686</v>
      </c>
      <c r="E20" s="1243"/>
      <c r="F20" s="1244"/>
      <c r="G20" s="405"/>
      <c r="H20" s="405"/>
      <c r="I20" s="405"/>
      <c r="J20" s="405"/>
      <c r="K20" s="405"/>
      <c r="L20" s="405"/>
      <c r="M20" s="405"/>
    </row>
    <row r="21" spans="1:13" s="71" customFormat="1" ht="12" customHeight="1" thickBot="1">
      <c r="A21" s="640"/>
      <c r="B21" s="412" t="s">
        <v>146</v>
      </c>
      <c r="C21" s="463">
        <v>0</v>
      </c>
      <c r="D21" s="1248" t="s">
        <v>687</v>
      </c>
      <c r="E21" s="1249"/>
      <c r="F21" s="1250"/>
      <c r="G21" s="640"/>
      <c r="H21" s="640"/>
      <c r="I21" s="640"/>
      <c r="J21" s="640"/>
      <c r="K21" s="640"/>
      <c r="L21" s="640"/>
      <c r="M21" s="640"/>
    </row>
    <row r="22" spans="1:13" ht="12" customHeight="1" thickBot="1">
      <c r="A22" s="405"/>
      <c r="B22" s="405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</row>
    <row r="23" spans="1:13" ht="12" customHeight="1">
      <c r="A23" s="405"/>
      <c r="B23" s="708" t="s">
        <v>5</v>
      </c>
      <c r="C23" s="709" t="s">
        <v>0</v>
      </c>
      <c r="D23" s="710" t="s">
        <v>4</v>
      </c>
      <c r="E23" s="711" t="s">
        <v>8</v>
      </c>
      <c r="F23" s="405"/>
      <c r="G23" s="405"/>
      <c r="H23" s="405"/>
      <c r="I23" s="405"/>
      <c r="J23" s="405"/>
      <c r="K23" s="405"/>
      <c r="L23" s="405"/>
      <c r="M23" s="405"/>
    </row>
    <row r="24" spans="1:13" ht="12" customHeight="1">
      <c r="A24" s="405"/>
      <c r="B24" s="679" t="s">
        <v>563</v>
      </c>
      <c r="C24" s="268">
        <f>(C6+C7+C8)*2*C18</f>
        <v>0</v>
      </c>
      <c r="D24" s="253"/>
      <c r="E24" s="277">
        <f t="shared" ref="E24:E63" si="1">C24*D24</f>
        <v>0</v>
      </c>
      <c r="F24" s="405"/>
      <c r="G24" s="405"/>
      <c r="H24" s="405"/>
      <c r="I24" s="405"/>
      <c r="J24" s="405"/>
      <c r="K24" s="405"/>
      <c r="L24" s="405"/>
      <c r="M24" s="405"/>
    </row>
    <row r="25" spans="1:13" ht="12" customHeight="1">
      <c r="A25" s="405"/>
      <c r="B25" s="679" t="s">
        <v>564</v>
      </c>
      <c r="C25" s="268">
        <f>2*C19*(C6+C7+C8)</f>
        <v>0</v>
      </c>
      <c r="D25" s="849"/>
      <c r="E25" s="277">
        <f t="shared" si="1"/>
        <v>0</v>
      </c>
      <c r="F25" s="405"/>
      <c r="G25" s="405"/>
      <c r="H25" s="405"/>
      <c r="I25" s="405"/>
      <c r="J25" s="405"/>
      <c r="K25" s="405"/>
      <c r="L25" s="405"/>
      <c r="M25" s="405"/>
    </row>
    <row r="26" spans="1:13" ht="12" customHeight="1">
      <c r="A26" s="405"/>
      <c r="B26" s="679" t="s">
        <v>117</v>
      </c>
      <c r="C26" s="268">
        <f>(C17+C16)*4*(C6+C7+C8)</f>
        <v>0</v>
      </c>
      <c r="D26" s="849"/>
      <c r="E26" s="277">
        <f t="shared" si="1"/>
        <v>0</v>
      </c>
      <c r="F26" s="405"/>
      <c r="G26" s="405"/>
      <c r="H26" s="405"/>
      <c r="I26" s="405"/>
      <c r="J26" s="405"/>
      <c r="K26" s="405"/>
      <c r="L26" s="405"/>
      <c r="M26" s="405"/>
    </row>
    <row r="27" spans="1:13" ht="12" customHeight="1">
      <c r="A27" s="405"/>
      <c r="B27" s="680" t="s">
        <v>655</v>
      </c>
      <c r="C27" s="269">
        <f>EVEN(ROUNDDOWN(IF((C6+C7+C8)&gt;0,((C2+C3)/0.5)*(C6+C7+C8),0),0))</f>
        <v>0</v>
      </c>
      <c r="D27" s="253"/>
      <c r="E27" s="277">
        <f t="shared" si="1"/>
        <v>0</v>
      </c>
      <c r="F27" s="405"/>
      <c r="G27" s="405"/>
      <c r="H27" s="405"/>
      <c r="I27" s="405"/>
      <c r="J27" s="405"/>
      <c r="K27" s="405"/>
      <c r="L27" s="405"/>
      <c r="M27" s="405"/>
    </row>
    <row r="28" spans="1:13" ht="12" customHeight="1">
      <c r="A28" s="405"/>
      <c r="B28" s="680" t="s">
        <v>420</v>
      </c>
      <c r="C28" s="269">
        <f>IF(AND(C9+C10+C11&gt;0,C12+C13+C14=0),(C6+C7+C8)*2,0)</f>
        <v>0</v>
      </c>
      <c r="D28" s="253"/>
      <c r="E28" s="277">
        <f t="shared" si="1"/>
        <v>0</v>
      </c>
      <c r="F28" s="405"/>
      <c r="G28" s="405"/>
      <c r="H28" s="405"/>
      <c r="I28" s="405"/>
      <c r="J28" s="405"/>
      <c r="K28" s="405"/>
      <c r="L28" s="405"/>
      <c r="M28" s="405"/>
    </row>
    <row r="29" spans="1:13" ht="12" customHeight="1">
      <c r="A29" s="405"/>
      <c r="B29" s="680" t="s">
        <v>555</v>
      </c>
      <c r="C29" s="269">
        <f>C6+C7+C8</f>
        <v>0</v>
      </c>
      <c r="D29" s="253"/>
      <c r="E29" s="277">
        <f t="shared" si="1"/>
        <v>0</v>
      </c>
      <c r="F29" s="405"/>
      <c r="G29" s="405"/>
      <c r="H29" s="405"/>
      <c r="I29" s="405"/>
      <c r="J29" s="405"/>
      <c r="K29" s="405"/>
      <c r="L29" s="405"/>
      <c r="M29" s="405"/>
    </row>
    <row r="30" spans="1:13" ht="12" customHeight="1">
      <c r="A30" s="405"/>
      <c r="B30" s="680" t="s">
        <v>511</v>
      </c>
      <c r="C30" s="269">
        <f>IF(AND(C12+C13+C14&gt;0,C9+C10+C11=0),(C6+C7+C8)*2,0)</f>
        <v>0</v>
      </c>
      <c r="D30" s="253"/>
      <c r="E30" s="277">
        <f t="shared" si="1"/>
        <v>0</v>
      </c>
      <c r="F30" s="405"/>
      <c r="G30" s="405"/>
      <c r="H30" s="405"/>
      <c r="I30" s="405"/>
      <c r="J30" s="405"/>
      <c r="K30" s="405"/>
      <c r="L30" s="405"/>
      <c r="M30" s="405"/>
    </row>
    <row r="31" spans="1:13" ht="12" customHeight="1">
      <c r="A31" s="405"/>
      <c r="B31" s="679" t="s">
        <v>656</v>
      </c>
      <c r="C31" s="268">
        <f>C6+C7+C8</f>
        <v>0</v>
      </c>
      <c r="D31" s="253"/>
      <c r="E31" s="277">
        <f t="shared" si="1"/>
        <v>0</v>
      </c>
      <c r="F31" s="405"/>
      <c r="G31" s="405"/>
      <c r="H31" s="405"/>
      <c r="I31" s="405"/>
      <c r="J31" s="405"/>
      <c r="K31" s="405"/>
      <c r="L31" s="405"/>
      <c r="M31" s="405"/>
    </row>
    <row r="32" spans="1:13" ht="12" customHeight="1">
      <c r="A32" s="405"/>
      <c r="B32" s="679" t="s">
        <v>657</v>
      </c>
      <c r="C32" s="270">
        <f>C6+C7+C8</f>
        <v>0</v>
      </c>
      <c r="D32" s="253"/>
      <c r="E32" s="277">
        <f t="shared" si="1"/>
        <v>0</v>
      </c>
      <c r="F32" s="405"/>
      <c r="G32" s="405"/>
      <c r="H32" s="405"/>
      <c r="I32" s="405"/>
      <c r="J32" s="405"/>
      <c r="K32" s="405"/>
      <c r="L32" s="405"/>
      <c r="M32" s="405"/>
    </row>
    <row r="33" spans="1:13" ht="12" customHeight="1">
      <c r="A33" s="405"/>
      <c r="B33" s="679" t="s">
        <v>658</v>
      </c>
      <c r="C33" s="268">
        <f>(C6+C7+C8)*2</f>
        <v>0</v>
      </c>
      <c r="D33" s="253"/>
      <c r="E33" s="277">
        <f t="shared" si="1"/>
        <v>0</v>
      </c>
      <c r="F33" s="405"/>
      <c r="G33" s="405"/>
      <c r="H33" s="405"/>
      <c r="I33" s="405"/>
      <c r="J33" s="405"/>
      <c r="K33" s="405"/>
      <c r="L33" s="405"/>
      <c r="M33" s="405"/>
    </row>
    <row r="34" spans="1:13" ht="12" customHeight="1">
      <c r="A34" s="405"/>
      <c r="B34" s="680" t="s">
        <v>445</v>
      </c>
      <c r="C34" s="268">
        <f>IF(C7+C8=0,C6*2,0)</f>
        <v>0</v>
      </c>
      <c r="D34" s="253"/>
      <c r="E34" s="277">
        <f t="shared" si="1"/>
        <v>0</v>
      </c>
      <c r="F34" s="405"/>
      <c r="G34" s="405"/>
      <c r="H34" s="405"/>
      <c r="I34" s="405"/>
      <c r="J34" s="405"/>
      <c r="K34" s="405"/>
      <c r="L34" s="405"/>
      <c r="M34" s="405"/>
    </row>
    <row r="35" spans="1:13" ht="12" customHeight="1">
      <c r="A35" s="405"/>
      <c r="B35" s="680" t="s">
        <v>446</v>
      </c>
      <c r="C35" s="268">
        <f>IF(AND(C6&gt;0,C7+C8=0),C6*4,0)</f>
        <v>0</v>
      </c>
      <c r="D35" s="253"/>
      <c r="E35" s="277">
        <f t="shared" si="1"/>
        <v>0</v>
      </c>
      <c r="F35" s="405"/>
      <c r="G35" s="405"/>
      <c r="H35" s="405"/>
      <c r="I35" s="405"/>
      <c r="J35" s="405"/>
      <c r="K35" s="405"/>
      <c r="L35" s="405"/>
      <c r="M35" s="405"/>
    </row>
    <row r="36" spans="1:13" ht="12" customHeight="1">
      <c r="A36" s="405"/>
      <c r="B36" s="680" t="s">
        <v>652</v>
      </c>
      <c r="C36" s="268">
        <f>IF(AND(C8&gt;0,C6+C7=0),C8*4,0)</f>
        <v>0</v>
      </c>
      <c r="D36" s="253"/>
      <c r="E36" s="277">
        <f>C36*D36</f>
        <v>0</v>
      </c>
      <c r="F36" s="405"/>
      <c r="G36" s="405"/>
      <c r="H36" s="405"/>
      <c r="I36" s="405"/>
      <c r="J36" s="405"/>
      <c r="K36" s="405"/>
      <c r="L36" s="405"/>
      <c r="M36" s="405"/>
    </row>
    <row r="37" spans="1:13" ht="12" customHeight="1">
      <c r="A37" s="405"/>
      <c r="B37" s="680" t="s">
        <v>434</v>
      </c>
      <c r="C37" s="268">
        <f>IF(C6=0,(C7+C8)*2,0)</f>
        <v>0</v>
      </c>
      <c r="D37" s="253"/>
      <c r="E37" s="277">
        <f t="shared" si="1"/>
        <v>0</v>
      </c>
      <c r="F37" s="405"/>
      <c r="G37" s="405"/>
      <c r="H37" s="405"/>
      <c r="I37" s="405"/>
      <c r="J37" s="405"/>
      <c r="K37" s="405"/>
      <c r="L37" s="405"/>
      <c r="M37" s="405"/>
    </row>
    <row r="38" spans="1:13" ht="12" customHeight="1">
      <c r="A38" s="405"/>
      <c r="B38" s="679" t="s">
        <v>474</v>
      </c>
      <c r="C38" s="268">
        <f>(C6+C7+C8)*(C2+C3)</f>
        <v>0</v>
      </c>
      <c r="D38" s="253"/>
      <c r="E38" s="277">
        <f t="shared" si="1"/>
        <v>0</v>
      </c>
      <c r="F38" s="405"/>
      <c r="G38" s="405"/>
      <c r="H38" s="405"/>
      <c r="I38" s="405"/>
      <c r="J38" s="405"/>
      <c r="K38" s="405"/>
      <c r="L38" s="405"/>
      <c r="M38" s="405"/>
    </row>
    <row r="39" spans="1:13" ht="12" customHeight="1">
      <c r="A39" s="405"/>
      <c r="B39" s="679" t="s">
        <v>474</v>
      </c>
      <c r="C39" s="269">
        <f>(C2+C3)*C18*(C6+C7+C8)</f>
        <v>0</v>
      </c>
      <c r="D39" s="253"/>
      <c r="E39" s="277">
        <f t="shared" si="1"/>
        <v>0</v>
      </c>
      <c r="F39" s="523"/>
      <c r="G39" s="405"/>
      <c r="H39" s="405"/>
      <c r="I39" s="405"/>
      <c r="J39" s="405"/>
      <c r="K39" s="405"/>
      <c r="L39" s="405"/>
      <c r="M39" s="405"/>
    </row>
    <row r="40" spans="1:13" ht="12" customHeight="1">
      <c r="A40" s="405"/>
      <c r="B40" s="680" t="s">
        <v>363</v>
      </c>
      <c r="C40" s="269">
        <f>C17*2*(C2+C3)*(C6+C7+C8)</f>
        <v>0</v>
      </c>
      <c r="D40" s="253"/>
      <c r="E40" s="277">
        <f t="shared" si="1"/>
        <v>0</v>
      </c>
      <c r="F40" s="405"/>
      <c r="G40" s="405"/>
      <c r="H40" s="405"/>
      <c r="I40" s="405"/>
      <c r="J40" s="405"/>
      <c r="K40" s="405"/>
      <c r="L40" s="405"/>
      <c r="M40" s="405"/>
    </row>
    <row r="41" spans="1:13" ht="12" customHeight="1">
      <c r="A41" s="405"/>
      <c r="B41" s="680" t="s">
        <v>477</v>
      </c>
      <c r="C41" s="269">
        <f>(C16+C19)*(C2+C3)*(C6+C7+C8)</f>
        <v>0</v>
      </c>
      <c r="D41" s="253"/>
      <c r="E41" s="277">
        <f t="shared" si="1"/>
        <v>0</v>
      </c>
      <c r="F41" s="405"/>
      <c r="G41" s="405"/>
      <c r="H41" s="405"/>
      <c r="I41" s="405"/>
      <c r="J41" s="405"/>
      <c r="K41" s="405"/>
      <c r="L41" s="405"/>
      <c r="M41" s="405"/>
    </row>
    <row r="42" spans="1:13" ht="12" customHeight="1">
      <c r="A42" s="405"/>
      <c r="B42" s="680" t="s">
        <v>645</v>
      </c>
      <c r="C42" s="269">
        <f>C19*(C2+C3)*(C6+C7+C8)</f>
        <v>0</v>
      </c>
      <c r="D42" s="253"/>
      <c r="E42" s="277">
        <f t="shared" si="1"/>
        <v>0</v>
      </c>
      <c r="F42" s="405"/>
      <c r="G42" s="405"/>
      <c r="H42" s="405"/>
      <c r="I42" s="405"/>
      <c r="J42" s="405"/>
      <c r="K42" s="405"/>
      <c r="L42" s="405"/>
      <c r="M42" s="405"/>
    </row>
    <row r="43" spans="1:13" ht="12" customHeight="1">
      <c r="A43" s="405"/>
      <c r="B43" s="680" t="s">
        <v>364</v>
      </c>
      <c r="C43" s="269">
        <f>C16*(C2+C3)*(C6+C7+C8)</f>
        <v>0</v>
      </c>
      <c r="D43" s="253"/>
      <c r="E43" s="277">
        <f t="shared" si="1"/>
        <v>0</v>
      </c>
      <c r="F43" s="405"/>
      <c r="G43" s="405"/>
      <c r="H43" s="405"/>
      <c r="I43" s="405"/>
      <c r="J43" s="405"/>
      <c r="K43" s="405"/>
      <c r="L43" s="405"/>
      <c r="M43" s="405"/>
    </row>
    <row r="44" spans="1:13" ht="12" customHeight="1">
      <c r="A44" s="405"/>
      <c r="B44" s="680" t="s">
        <v>365</v>
      </c>
      <c r="C44" s="276">
        <f>C17*(C2+C3)*(C6+C7+C8)</f>
        <v>0</v>
      </c>
      <c r="D44" s="253"/>
      <c r="E44" s="277">
        <f t="shared" si="1"/>
        <v>0</v>
      </c>
      <c r="F44" s="405"/>
      <c r="G44" s="405"/>
      <c r="H44" s="405"/>
      <c r="I44" s="405"/>
      <c r="J44" s="405"/>
      <c r="K44" s="405"/>
      <c r="L44" s="405"/>
      <c r="M44" s="405"/>
    </row>
    <row r="45" spans="1:13" ht="12" customHeight="1">
      <c r="A45" s="405"/>
      <c r="B45" s="680" t="s">
        <v>467</v>
      </c>
      <c r="C45" s="269">
        <f>(C6+C7+C8)*(C2+C3)*C18</f>
        <v>0</v>
      </c>
      <c r="D45" s="253"/>
      <c r="E45" s="277">
        <f t="shared" si="1"/>
        <v>0</v>
      </c>
      <c r="F45" s="405"/>
      <c r="G45" s="405"/>
      <c r="H45" s="405"/>
      <c r="I45" s="405"/>
      <c r="J45" s="405"/>
      <c r="K45" s="405"/>
      <c r="L45" s="405"/>
      <c r="M45" s="405"/>
    </row>
    <row r="46" spans="1:13" ht="12" customHeight="1">
      <c r="A46" s="405"/>
      <c r="B46" s="679" t="s">
        <v>461</v>
      </c>
      <c r="C46" s="268">
        <f>IF(AND(C6&gt;0,C7+C8=0),(C2+C3)*C6,0)</f>
        <v>0</v>
      </c>
      <c r="D46" s="253"/>
      <c r="E46" s="277">
        <f t="shared" si="1"/>
        <v>0</v>
      </c>
      <c r="F46" s="405"/>
      <c r="G46" s="405"/>
      <c r="H46" s="405"/>
      <c r="I46" s="405"/>
      <c r="J46" s="405"/>
      <c r="K46" s="405"/>
      <c r="L46" s="405"/>
      <c r="M46" s="405"/>
    </row>
    <row r="47" spans="1:13" ht="12" customHeight="1">
      <c r="A47" s="405"/>
      <c r="B47" s="679" t="s">
        <v>462</v>
      </c>
      <c r="C47" s="268">
        <f>IF(AND(C6+C8=0,C7&gt;0),(C2+C3)*C7,0)</f>
        <v>0</v>
      </c>
      <c r="D47" s="253"/>
      <c r="E47" s="277">
        <f t="shared" si="1"/>
        <v>0</v>
      </c>
      <c r="F47" s="405"/>
      <c r="G47" s="405"/>
      <c r="H47" s="405"/>
      <c r="I47" s="405"/>
      <c r="J47" s="405"/>
      <c r="K47" s="405"/>
      <c r="L47" s="405"/>
      <c r="M47" s="405"/>
    </row>
    <row r="48" spans="1:13" ht="12" customHeight="1">
      <c r="A48" s="405"/>
      <c r="B48" s="679" t="s">
        <v>601</v>
      </c>
      <c r="C48" s="268">
        <f>IF(AND(C7+C6=0,C8&gt;0),(C3+C2)*C8,0)</f>
        <v>0</v>
      </c>
      <c r="D48" s="253"/>
      <c r="E48" s="277">
        <f>C48*D48</f>
        <v>0</v>
      </c>
      <c r="F48" s="405"/>
      <c r="G48" s="405"/>
      <c r="H48" s="405"/>
      <c r="I48" s="405"/>
      <c r="J48" s="405"/>
      <c r="K48" s="405"/>
      <c r="L48" s="405"/>
      <c r="M48" s="405"/>
    </row>
    <row r="49" spans="1:13" ht="12" customHeight="1">
      <c r="A49" s="405"/>
      <c r="B49" s="679" t="s">
        <v>442</v>
      </c>
      <c r="C49" s="268">
        <f>(C6+C7+C8)*2</f>
        <v>0</v>
      </c>
      <c r="D49" s="253"/>
      <c r="E49" s="277">
        <f t="shared" si="1"/>
        <v>0</v>
      </c>
      <c r="F49" s="405"/>
      <c r="G49" s="405"/>
      <c r="H49" s="405"/>
      <c r="I49" s="405"/>
      <c r="J49" s="405"/>
      <c r="K49" s="405"/>
      <c r="L49" s="405"/>
      <c r="M49" s="405"/>
    </row>
    <row r="50" spans="1:13" ht="12" customHeight="1">
      <c r="A50" s="405"/>
      <c r="B50" s="712" t="s">
        <v>483</v>
      </c>
      <c r="C50" s="271">
        <f>(C2+C3)*(C6+C7+C8)</f>
        <v>0</v>
      </c>
      <c r="D50" s="252"/>
      <c r="E50" s="277">
        <f t="shared" si="1"/>
        <v>0</v>
      </c>
      <c r="F50" s="405"/>
      <c r="G50" s="405"/>
      <c r="H50" s="405"/>
      <c r="I50" s="405"/>
      <c r="J50" s="405"/>
      <c r="K50" s="405"/>
      <c r="L50" s="405"/>
      <c r="M50" s="405"/>
    </row>
    <row r="51" spans="1:13" ht="12" customHeight="1">
      <c r="A51" s="405"/>
      <c r="B51" s="679" t="s">
        <v>661</v>
      </c>
      <c r="C51" s="268">
        <f>(C6+C7+C8)*(C2+C3)</f>
        <v>0</v>
      </c>
      <c r="D51" s="253"/>
      <c r="E51" s="277">
        <f t="shared" si="1"/>
        <v>0</v>
      </c>
      <c r="F51" s="405"/>
      <c r="G51" s="405"/>
      <c r="H51" s="405"/>
      <c r="I51" s="405"/>
      <c r="J51" s="405"/>
      <c r="K51" s="405"/>
      <c r="L51" s="405"/>
      <c r="M51" s="405"/>
    </row>
    <row r="52" spans="1:13" ht="12" customHeight="1">
      <c r="A52" s="405"/>
      <c r="B52" s="679" t="s">
        <v>662</v>
      </c>
      <c r="C52" s="268">
        <f>(C6+C7+C8)*(C2+C3)</f>
        <v>0</v>
      </c>
      <c r="D52" s="253"/>
      <c r="E52" s="277">
        <f t="shared" si="1"/>
        <v>0</v>
      </c>
      <c r="F52" s="405"/>
      <c r="G52" s="405"/>
      <c r="H52" s="405"/>
      <c r="I52" s="405"/>
      <c r="J52" s="405"/>
      <c r="K52" s="405"/>
      <c r="L52" s="405"/>
      <c r="M52" s="405"/>
    </row>
    <row r="53" spans="1:13" ht="12" customHeight="1">
      <c r="A53" s="405"/>
      <c r="B53" s="680" t="s">
        <v>647</v>
      </c>
      <c r="C53" s="269">
        <f>(C6+C7+C8)*2</f>
        <v>0</v>
      </c>
      <c r="D53" s="253"/>
      <c r="E53" s="277">
        <f t="shared" si="1"/>
        <v>0</v>
      </c>
      <c r="F53" s="405"/>
      <c r="G53" s="405"/>
      <c r="H53" s="405"/>
      <c r="I53" s="405"/>
      <c r="J53" s="405"/>
      <c r="K53" s="405"/>
      <c r="L53" s="405"/>
      <c r="M53" s="405"/>
    </row>
    <row r="54" spans="1:13" ht="12" customHeight="1">
      <c r="A54" s="405"/>
      <c r="B54" s="680" t="s">
        <v>539</v>
      </c>
      <c r="C54" s="269">
        <f>(C6+C7+C8)*4</f>
        <v>0</v>
      </c>
      <c r="D54" s="253"/>
      <c r="E54" s="277">
        <f t="shared" si="1"/>
        <v>0</v>
      </c>
      <c r="F54" s="405"/>
      <c r="G54" s="405"/>
      <c r="H54" s="405"/>
      <c r="I54" s="405"/>
      <c r="J54" s="405"/>
      <c r="K54" s="405"/>
      <c r="L54" s="405"/>
      <c r="M54" s="405"/>
    </row>
    <row r="55" spans="1:13" ht="12" customHeight="1">
      <c r="A55" s="405"/>
      <c r="B55" s="680" t="s">
        <v>516</v>
      </c>
      <c r="C55" s="269">
        <f>(C6+C7+C8)*2</f>
        <v>0</v>
      </c>
      <c r="D55" s="253"/>
      <c r="E55" s="277">
        <f t="shared" si="1"/>
        <v>0</v>
      </c>
      <c r="F55" s="405"/>
      <c r="G55" s="405"/>
      <c r="H55" s="405"/>
      <c r="I55" s="405"/>
      <c r="J55" s="405"/>
      <c r="K55" s="405"/>
      <c r="L55" s="405"/>
      <c r="M55" s="405"/>
    </row>
    <row r="56" spans="1:13" ht="12" customHeight="1">
      <c r="A56" s="405"/>
      <c r="B56" s="452" t="s">
        <v>602</v>
      </c>
      <c r="C56" s="354">
        <f>C11*C8*2</f>
        <v>0</v>
      </c>
      <c r="D56" s="553"/>
      <c r="E56" s="344">
        <f t="shared" si="1"/>
        <v>0</v>
      </c>
      <c r="F56" s="405"/>
      <c r="G56" s="405"/>
      <c r="H56" s="405"/>
      <c r="I56" s="405"/>
      <c r="J56" s="405"/>
      <c r="K56" s="405"/>
      <c r="L56" s="405"/>
      <c r="M56" s="405"/>
    </row>
    <row r="57" spans="1:13" ht="12" customHeight="1">
      <c r="A57" s="405"/>
      <c r="B57" s="452" t="s">
        <v>603</v>
      </c>
      <c r="C57" s="354">
        <f>C14*C8*2</f>
        <v>0</v>
      </c>
      <c r="D57" s="553"/>
      <c r="E57" s="344">
        <f t="shared" si="1"/>
        <v>0</v>
      </c>
      <c r="F57" s="405"/>
      <c r="G57" s="405"/>
      <c r="H57" s="405"/>
      <c r="I57" s="405"/>
      <c r="J57" s="405"/>
      <c r="K57" s="405"/>
      <c r="L57" s="405"/>
      <c r="M57" s="405"/>
    </row>
    <row r="58" spans="1:13" ht="12" customHeight="1">
      <c r="A58" s="405"/>
      <c r="B58" s="682" t="s">
        <v>378</v>
      </c>
      <c r="C58" s="276">
        <f>C9*C6*2</f>
        <v>0</v>
      </c>
      <c r="D58" s="253"/>
      <c r="E58" s="277">
        <f t="shared" si="1"/>
        <v>0</v>
      </c>
      <c r="F58" s="405"/>
      <c r="G58" s="405"/>
      <c r="H58" s="405"/>
      <c r="I58" s="405"/>
      <c r="J58" s="405"/>
      <c r="K58" s="405"/>
      <c r="L58" s="405"/>
      <c r="M58" s="405"/>
    </row>
    <row r="59" spans="1:13" ht="12" customHeight="1">
      <c r="A59" s="405"/>
      <c r="B59" s="682" t="s">
        <v>435</v>
      </c>
      <c r="C59" s="276">
        <f>C12*C6*2</f>
        <v>0</v>
      </c>
      <c r="D59" s="253"/>
      <c r="E59" s="277">
        <f t="shared" si="1"/>
        <v>0</v>
      </c>
      <c r="F59" s="405"/>
      <c r="G59" s="405"/>
      <c r="H59" s="405"/>
      <c r="I59" s="405"/>
      <c r="J59" s="405"/>
      <c r="K59" s="405"/>
      <c r="L59" s="405"/>
      <c r="M59" s="405"/>
    </row>
    <row r="60" spans="1:13" ht="12" customHeight="1">
      <c r="A60" s="405"/>
      <c r="B60" s="682" t="s">
        <v>436</v>
      </c>
      <c r="C60" s="276">
        <f>C10*C7*2</f>
        <v>0</v>
      </c>
      <c r="D60" s="253"/>
      <c r="E60" s="277">
        <f t="shared" si="1"/>
        <v>0</v>
      </c>
      <c r="F60" s="405"/>
      <c r="G60" s="405"/>
      <c r="H60" s="405"/>
      <c r="I60" s="405"/>
      <c r="J60" s="405"/>
      <c r="K60" s="405"/>
      <c r="L60" s="405"/>
      <c r="M60" s="405"/>
    </row>
    <row r="61" spans="1:13" ht="12" customHeight="1">
      <c r="A61" s="405"/>
      <c r="B61" s="525" t="s">
        <v>145</v>
      </c>
      <c r="C61" s="506">
        <f>C21</f>
        <v>0</v>
      </c>
      <c r="D61" s="522"/>
      <c r="E61" s="400">
        <f t="shared" si="1"/>
        <v>0</v>
      </c>
      <c r="F61" s="405"/>
      <c r="G61" s="405"/>
      <c r="H61" s="405"/>
      <c r="I61" s="405"/>
      <c r="J61" s="405"/>
      <c r="K61" s="405"/>
      <c r="L61" s="405"/>
      <c r="M61" s="405"/>
    </row>
    <row r="62" spans="1:13" ht="12" customHeight="1">
      <c r="A62" s="405"/>
      <c r="B62" s="525" t="s">
        <v>148</v>
      </c>
      <c r="C62" s="506">
        <f>C20</f>
        <v>0</v>
      </c>
      <c r="D62" s="522"/>
      <c r="E62" s="400">
        <f t="shared" si="1"/>
        <v>0</v>
      </c>
      <c r="F62" s="405"/>
      <c r="G62" s="405"/>
      <c r="H62" s="405"/>
      <c r="I62" s="405"/>
      <c r="J62" s="405"/>
      <c r="K62" s="405"/>
      <c r="L62" s="405"/>
      <c r="M62" s="405"/>
    </row>
    <row r="63" spans="1:13" ht="12" customHeight="1" thickBot="1">
      <c r="A63" s="405"/>
      <c r="B63" s="685" t="s">
        <v>437</v>
      </c>
      <c r="C63" s="272">
        <f>C13*C7*2</f>
        <v>0</v>
      </c>
      <c r="D63" s="254"/>
      <c r="E63" s="278">
        <f t="shared" si="1"/>
        <v>0</v>
      </c>
      <c r="F63" s="405"/>
      <c r="G63" s="405"/>
      <c r="H63" s="405"/>
      <c r="I63" s="405"/>
      <c r="J63" s="405"/>
      <c r="K63" s="405"/>
      <c r="L63" s="405"/>
      <c r="M63" s="405"/>
    </row>
    <row r="64" spans="1:13" ht="12" customHeight="1" thickBot="1">
      <c r="A64" s="405"/>
      <c r="B64" s="405"/>
      <c r="C64" s="405"/>
      <c r="D64" s="686" t="s">
        <v>9</v>
      </c>
      <c r="E64" s="527">
        <f>SUMIF(E24:E63,"&gt;0",E24:E63)</f>
        <v>0</v>
      </c>
      <c r="F64" s="405"/>
      <c r="G64" s="405"/>
      <c r="H64" s="405"/>
      <c r="I64" s="405"/>
      <c r="J64" s="405"/>
      <c r="K64" s="405"/>
      <c r="L64" s="405"/>
      <c r="M64" s="405"/>
    </row>
    <row r="65" spans="1:13">
      <c r="A65" s="405"/>
      <c r="B65" s="405"/>
      <c r="C65" s="405"/>
      <c r="D65" s="405"/>
      <c r="E65" s="405"/>
      <c r="F65" s="405"/>
      <c r="G65" s="405"/>
      <c r="H65" s="405"/>
      <c r="I65" s="405"/>
      <c r="J65" s="405"/>
      <c r="K65" s="405"/>
      <c r="L65" s="405"/>
      <c r="M65" s="405"/>
    </row>
    <row r="66" spans="1:13">
      <c r="A66" s="405"/>
      <c r="B66" s="405"/>
      <c r="C66" s="405"/>
      <c r="D66" s="405"/>
      <c r="E66" s="405"/>
      <c r="F66" s="405"/>
      <c r="G66" s="405"/>
      <c r="H66" s="405"/>
      <c r="I66" s="405"/>
      <c r="J66" s="405"/>
      <c r="K66" s="405"/>
      <c r="L66" s="405"/>
      <c r="M66" s="405"/>
    </row>
    <row r="67" spans="1:13">
      <c r="A67" s="405"/>
      <c r="B67" s="405"/>
      <c r="C67" s="405"/>
      <c r="D67" s="405"/>
      <c r="E67" s="405"/>
      <c r="F67" s="405"/>
      <c r="G67" s="405"/>
      <c r="H67" s="405"/>
      <c r="I67" s="405"/>
      <c r="J67" s="405"/>
      <c r="K67" s="405"/>
      <c r="L67" s="405"/>
      <c r="M67" s="405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221" priority="55" operator="greaterThan">
      <formula>0</formula>
    </cfRule>
  </conditionalFormatting>
  <conditionalFormatting sqref="C15">
    <cfRule type="cellIs" dxfId="220" priority="56" operator="greaterThan">
      <formula>0</formula>
    </cfRule>
  </conditionalFormatting>
  <conditionalFormatting sqref="C15">
    <cfRule type="cellIs" dxfId="219" priority="57" operator="greaterThan">
      <formula>0</formula>
    </cfRule>
  </conditionalFormatting>
  <conditionalFormatting sqref="C15">
    <cfRule type="cellIs" dxfId="218" priority="61" operator="greaterThan">
      <formula>0</formula>
    </cfRule>
  </conditionalFormatting>
  <conditionalFormatting sqref="C15">
    <cfRule type="cellIs" dxfId="217" priority="60" operator="greaterThan">
      <formula>0</formula>
    </cfRule>
  </conditionalFormatting>
  <conditionalFormatting sqref="C15">
    <cfRule type="cellIs" dxfId="216" priority="59" operator="greaterThan">
      <formula>0</formula>
    </cfRule>
  </conditionalFormatting>
  <conditionalFormatting sqref="C15">
    <cfRule type="cellIs" dxfId="215" priority="58" operator="greaterThan">
      <formula>0</formula>
    </cfRule>
  </conditionalFormatting>
  <conditionalFormatting sqref="J3:J19">
    <cfRule type="cellIs" dxfId="214" priority="28" operator="greaterThan">
      <formula>0</formula>
    </cfRule>
    <cfRule type="cellIs" dxfId="213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12" priority="49" operator="equal">
      <formula>"ДА"</formula>
    </cfRule>
    <cfRule type="cellIs" dxfId="211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10" priority="46" operator="equal">
      <formula>"ДА"</formula>
    </cfRule>
    <cfRule type="cellIs" dxfId="209" priority="47" operator="equal">
      <formula>"НЕТ"</formula>
    </cfRule>
  </conditionalFormatting>
  <conditionalFormatting sqref="I5">
    <cfRule type="cellIs" dxfId="208" priority="43" operator="equal">
      <formula>"ДА"</formula>
    </cfRule>
    <cfRule type="cellIs" dxfId="207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06" priority="39" operator="equal">
      <formula>"ДА"</formula>
    </cfRule>
    <cfRule type="cellIs" dxfId="205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204" priority="35" operator="equal">
      <formula>"ДА"</formula>
    </cfRule>
    <cfRule type="cellIs" dxfId="203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02" priority="33" operator="equal">
      <formula>"ДА"</formula>
    </cfRule>
    <cfRule type="cellIs" dxfId="201" priority="34" operator="equal">
      <formula>"НЕТ"</formula>
    </cfRule>
  </conditionalFormatting>
  <conditionalFormatting sqref="I19">
    <cfRule type="cellIs" dxfId="200" priority="31" operator="equal">
      <formula>"ДА"</formula>
    </cfRule>
    <cfRule type="cellIs" dxfId="199" priority="32" operator="equal">
      <formula>"НЕТ"</formula>
    </cfRule>
  </conditionalFormatting>
  <conditionalFormatting sqref="K3:K19">
    <cfRule type="cellIs" dxfId="198" priority="30" operator="greaterThan">
      <formula>0</formula>
    </cfRule>
  </conditionalFormatting>
  <conditionalFormatting sqref="I15:I19">
    <cfRule type="cellIs" dxfId="197" priority="27" operator="equal">
      <formula>"НЕТ"</formula>
    </cfRule>
  </conditionalFormatting>
  <conditionalFormatting sqref="I3:I19">
    <cfRule type="cellIs" dxfId="196" priority="25" operator="equal">
      <formula>"НЕТ"</formula>
    </cfRule>
    <cfRule type="cellIs" dxfId="195" priority="26" operator="equal">
      <formula>"ДА"</formula>
    </cfRule>
  </conditionalFormatting>
  <conditionalFormatting sqref="I3:I18">
    <cfRule type="cellIs" dxfId="194" priority="24" operator="equal">
      <formula>"ДА"</formula>
    </cfRule>
  </conditionalFormatting>
  <conditionalFormatting sqref="I5">
    <cfRule type="cellIs" dxfId="193" priority="21" operator="equal">
      <formula>"ДА"</formula>
    </cfRule>
    <cfRule type="cellIs" dxfId="192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91" priority="18" operator="equal">
      <formula>"ДА"</formula>
    </cfRule>
    <cfRule type="cellIs" dxfId="190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89" priority="12" operator="greaterThan">
      <formula>0</formula>
    </cfRule>
    <cfRule type="cellIs" dxfId="188" priority="13" operator="greaterThan">
      <formula>0</formula>
    </cfRule>
    <cfRule type="cellIs" dxfId="187" priority="17" operator="greaterThan">
      <formula>0</formula>
    </cfRule>
  </conditionalFormatting>
  <conditionalFormatting sqref="I5">
    <cfRule type="cellIs" dxfId="186" priority="14" operator="equal">
      <formula>"ДА"</formula>
    </cfRule>
    <cfRule type="cellIs" dxfId="185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84" priority="11" operator="greaterThan">
      <formula>0</formula>
    </cfRule>
  </conditionalFormatting>
  <conditionalFormatting sqref="C57:E57">
    <cfRule type="cellIs" dxfId="183" priority="10" operator="greaterThan">
      <formula>0</formula>
    </cfRule>
  </conditionalFormatting>
  <conditionalFormatting sqref="C56:E57">
    <cfRule type="cellIs" dxfId="182" priority="9" operator="greaterThan">
      <formula>0</formula>
    </cfRule>
  </conditionalFormatting>
  <conditionalFormatting sqref="C56:E57">
    <cfRule type="cellIs" dxfId="181" priority="8" operator="greaterThan">
      <formula>0</formula>
    </cfRule>
  </conditionalFormatting>
  <conditionalFormatting sqref="C56:E57">
    <cfRule type="cellIs" dxfId="180" priority="7" operator="greaterThan">
      <formula>0</formula>
    </cfRule>
  </conditionalFormatting>
  <conditionalFormatting sqref="C56:E57">
    <cfRule type="cellIs" dxfId="179" priority="6" operator="greaterThan">
      <formula>0</formula>
    </cfRule>
  </conditionalFormatting>
  <conditionalFormatting sqref="E64">
    <cfRule type="cellIs" dxfId="178" priority="5" operator="greaterThan">
      <formula>0</formula>
    </cfRule>
  </conditionalFormatting>
  <conditionalFormatting sqref="C2:C19">
    <cfRule type="cellIs" dxfId="177" priority="4" operator="greaterThan">
      <formula>0</formula>
    </cfRule>
  </conditionalFormatting>
  <conditionalFormatting sqref="C24:E60 C63:E63">
    <cfRule type="cellIs" dxfId="176" priority="3" operator="greaterThan">
      <formula>0</formula>
    </cfRule>
  </conditionalFormatting>
  <conditionalFormatting sqref="C20:C21">
    <cfRule type="cellIs" dxfId="175" priority="2" operator="greaterThan">
      <formula>0</formula>
    </cfRule>
  </conditionalFormatting>
  <conditionalFormatting sqref="C61:E62">
    <cfRule type="cellIs" dxfId="17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C10" sqref="C10:C28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313" t="s">
        <v>844</v>
      </c>
      <c r="B1" s="1313"/>
      <c r="C1" s="1313"/>
      <c r="D1" s="1313"/>
    </row>
    <row r="2" spans="1:4">
      <c r="A2" s="108" t="s">
        <v>10</v>
      </c>
      <c r="B2" s="857">
        <v>4</v>
      </c>
      <c r="C2" s="1090" t="s">
        <v>125</v>
      </c>
      <c r="D2" s="1033"/>
    </row>
    <row r="3" spans="1:4">
      <c r="A3" s="109" t="s">
        <v>123</v>
      </c>
      <c r="B3" s="829">
        <v>1</v>
      </c>
      <c r="C3" s="1092" t="s">
        <v>30</v>
      </c>
      <c r="D3" s="1093"/>
    </row>
    <row r="4" spans="1:4">
      <c r="A4" s="813" t="s">
        <v>845</v>
      </c>
      <c r="B4" s="830">
        <v>2</v>
      </c>
      <c r="C4" s="843" t="s">
        <v>846</v>
      </c>
      <c r="D4" s="840" t="s">
        <v>847</v>
      </c>
    </row>
    <row r="5" spans="1:4">
      <c r="A5" s="813" t="s">
        <v>848</v>
      </c>
      <c r="B5" s="830">
        <v>0</v>
      </c>
      <c r="C5" s="841" t="s">
        <v>849</v>
      </c>
      <c r="D5" s="840" t="s">
        <v>850</v>
      </c>
    </row>
    <row r="6" spans="1:4" ht="24" customHeight="1">
      <c r="A6" s="813" t="s">
        <v>589</v>
      </c>
      <c r="B6" s="830">
        <v>4</v>
      </c>
      <c r="C6" s="1223" t="s">
        <v>869</v>
      </c>
      <c r="D6" s="1227"/>
    </row>
    <row r="7" spans="1:4">
      <c r="A7" s="814" t="s">
        <v>277</v>
      </c>
      <c r="B7" s="829">
        <v>0</v>
      </c>
      <c r="C7" s="1152" t="s">
        <v>30</v>
      </c>
      <c r="D7" s="1153"/>
    </row>
    <row r="8" spans="1:4" ht="12" thickBot="1">
      <c r="A8" s="1175"/>
      <c r="B8" s="1175"/>
      <c r="C8" s="1175"/>
      <c r="D8" s="1175"/>
    </row>
    <row r="9" spans="1:4" ht="12.75">
      <c r="A9" s="96" t="s">
        <v>5</v>
      </c>
      <c r="B9" s="97" t="s">
        <v>0</v>
      </c>
      <c r="C9" s="117" t="s">
        <v>4</v>
      </c>
      <c r="D9" s="842" t="s">
        <v>8</v>
      </c>
    </row>
    <row r="10" spans="1:4" ht="15.75">
      <c r="A10" s="946" t="s">
        <v>851</v>
      </c>
      <c r="B10" s="947">
        <f>B3</f>
        <v>1</v>
      </c>
      <c r="C10" s="948"/>
      <c r="D10" s="946">
        <f t="shared" ref="D10:D36" si="0">C10*B10</f>
        <v>0</v>
      </c>
    </row>
    <row r="11" spans="1:4" ht="15.75">
      <c r="A11" s="946" t="s">
        <v>852</v>
      </c>
      <c r="B11" s="947">
        <f>IF(B3&gt;0,B3,0)</f>
        <v>1</v>
      </c>
      <c r="C11" s="948"/>
      <c r="D11" s="946">
        <f t="shared" si="0"/>
        <v>0</v>
      </c>
    </row>
    <row r="12" spans="1:4" ht="15.75">
      <c r="A12" s="946" t="s">
        <v>853</v>
      </c>
      <c r="B12" s="947">
        <f>IF(B2&lt;=1.31, 2*B3,
IF(AND(B2&gt;1.31,B2&lt;=2.2), 3*B3,
IF(AND(B2&gt;2.2,B2&lt;=3), 4*B3,
IF(AND(B2&gt;3,B2&lt;=4),5*B3,6))))</f>
        <v>5</v>
      </c>
      <c r="C12" s="948"/>
      <c r="D12" s="946">
        <f t="shared" si="0"/>
        <v>0</v>
      </c>
    </row>
    <row r="13" spans="1:4" ht="15.75">
      <c r="A13" s="946" t="s">
        <v>854</v>
      </c>
      <c r="B13" s="947">
        <f>IF(B2&lt;=1.31, 2*B3,
IF(AND(B2&gt;1.31,B2&lt;=2.2), 3*B3,
IF(AND(B2&gt;2.2,B2&lt;=3), 4*B3,
IF(AND(B2&gt;3,B2&lt;=4),5*B3,6))))</f>
        <v>5</v>
      </c>
      <c r="C13" s="948"/>
      <c r="D13" s="946">
        <f t="shared" si="0"/>
        <v>0</v>
      </c>
    </row>
    <row r="14" spans="1:4" ht="15.75">
      <c r="A14" s="946" t="s">
        <v>855</v>
      </c>
      <c r="B14" s="947">
        <f>B3</f>
        <v>1</v>
      </c>
      <c r="C14" s="948"/>
      <c r="D14" s="946">
        <f t="shared" si="0"/>
        <v>0</v>
      </c>
    </row>
    <row r="15" spans="1:4" ht="15.75">
      <c r="A15" s="946" t="s">
        <v>856</v>
      </c>
      <c r="B15" s="947">
        <f>B3</f>
        <v>1</v>
      </c>
      <c r="C15" s="948"/>
      <c r="D15" s="946">
        <f t="shared" si="0"/>
        <v>0</v>
      </c>
    </row>
    <row r="16" spans="1:4" ht="15.75">
      <c r="A16" s="946" t="s">
        <v>857</v>
      </c>
      <c r="B16" s="947">
        <f>IF(AND(B2&lt;=1.31,B4=1), 2*B3,
IF(AND(B2&gt;1.31,B2&lt;=2.2,B4=1), 3*B3,
IF(AND(B2&gt;2.2,B2&lt;=3,B4=1), 4*B3,
IF(AND(B2&gt;3,B2&lt;=4,B4=1),5*B3,0))))</f>
        <v>0</v>
      </c>
      <c r="C16" s="948"/>
      <c r="D16" s="946">
        <f t="shared" si="0"/>
        <v>0</v>
      </c>
    </row>
    <row r="17" spans="1:4" ht="15.75">
      <c r="A17" s="946" t="s">
        <v>858</v>
      </c>
      <c r="B17" s="947">
        <f>IF(AND(B2&lt;=1.31,B4=2), 2*B3,
IF(AND(B2&gt;1.31,B2&lt;=2.2,B4=2), 3*B3,
IF(AND(B2&gt;2.2,B2&lt;=3,B4=2), 4*B3,
IF(AND(B2&gt;3,B2&lt;=4,B4=2),5*B3,0))))</f>
        <v>5</v>
      </c>
      <c r="C17" s="948"/>
      <c r="D17" s="946">
        <f t="shared" si="0"/>
        <v>0</v>
      </c>
    </row>
    <row r="18" spans="1:4" ht="15.75">
      <c r="A18" s="946" t="s">
        <v>859</v>
      </c>
      <c r="B18" s="947">
        <f>IF(B2&gt;3,B3,0)</f>
        <v>1</v>
      </c>
      <c r="C18" s="948"/>
      <c r="D18" s="946">
        <f t="shared" si="0"/>
        <v>0</v>
      </c>
    </row>
    <row r="19" spans="1:4" ht="15.75">
      <c r="A19" s="946" t="s">
        <v>860</v>
      </c>
      <c r="B19" s="947">
        <f>IF(B2&lt;=1.31, 2*B3*4.5,
IF(AND(B2&gt;1.31,B2&lt;=2.2), 3*B3*4.5,
IF(AND(B2&gt;2.2,B2&lt;=3), 4*B3*4.5,
IF(AND(B2&gt;3,B2&lt;=4),5*B3*4.5,0))))</f>
        <v>22.5</v>
      </c>
      <c r="C19" s="948"/>
      <c r="D19" s="946">
        <f t="shared" si="0"/>
        <v>0</v>
      </c>
    </row>
    <row r="20" spans="1:4" ht="15.75">
      <c r="A20" s="946" t="s">
        <v>861</v>
      </c>
      <c r="B20" s="947">
        <f>IF(B2&lt;=1.31, 2*B3,
IF(AND(B2&gt;1.31,B2&lt;=2.2), 3*B3,
IF(AND(B2&gt;2.2,B2&lt;=3), 4*B3,
IF(AND(B2&gt;3,B2&lt;=4),5*B3,6))))</f>
        <v>5</v>
      </c>
      <c r="C20" s="948"/>
      <c r="D20" s="946">
        <f t="shared" si="0"/>
        <v>0</v>
      </c>
    </row>
    <row r="21" spans="1:4" ht="15.75">
      <c r="A21" s="946" t="s">
        <v>862</v>
      </c>
      <c r="B21" s="949">
        <f>IF(AND(B2&gt;=1,B2&lt;=3),B2-0.06,IF(AND(B2&gt;3,B2&lt;=5),(B2-0.037)/2,IF(AND(B2&gt;=1,B2&lt;=3),B2-0.4,IF(AND(B2&gt;3,B2&lt;=5),(B2-0.207)/2,0))))</f>
        <v>1.9815</v>
      </c>
      <c r="C21" s="950"/>
      <c r="D21" s="946">
        <f t="shared" si="0"/>
        <v>0</v>
      </c>
    </row>
    <row r="22" spans="1:4" ht="15.75">
      <c r="A22" s="946" t="s">
        <v>862</v>
      </c>
      <c r="B22" s="949">
        <f>IF(AND(B2&gt;3,B2&lt;=5),(B2-0.037)/2,IF(AND(B2&gt;3,B2&lt;=5),(B2-0.207)/2,0))</f>
        <v>1.9815</v>
      </c>
      <c r="C22" s="950"/>
      <c r="D22" s="946">
        <f t="shared" si="0"/>
        <v>0</v>
      </c>
    </row>
    <row r="23" spans="1:4" ht="15.75">
      <c r="A23" s="946" t="s">
        <v>937</v>
      </c>
      <c r="B23" s="951">
        <f>B3*2</f>
        <v>2</v>
      </c>
      <c r="C23" s="950"/>
      <c r="D23" s="946">
        <f t="shared" si="0"/>
        <v>0</v>
      </c>
    </row>
    <row r="24" spans="1:4" ht="15.75">
      <c r="A24" s="946" t="s">
        <v>938</v>
      </c>
      <c r="B24" s="951">
        <f>B3*2</f>
        <v>2</v>
      </c>
      <c r="C24" s="950"/>
      <c r="D24" s="946">
        <f t="shared" si="0"/>
        <v>0</v>
      </c>
    </row>
    <row r="25" spans="1:4" ht="15.75">
      <c r="A25" s="946" t="s">
        <v>934</v>
      </c>
      <c r="B25" s="951">
        <f>B3</f>
        <v>1</v>
      </c>
      <c r="C25" s="950"/>
      <c r="D25" s="946">
        <f t="shared" si="0"/>
        <v>0</v>
      </c>
    </row>
    <row r="26" spans="1:4" ht="15.75">
      <c r="A26" s="946" t="s">
        <v>935</v>
      </c>
      <c r="B26" s="951">
        <f>IF(B5=0,B3,0)</f>
        <v>1</v>
      </c>
      <c r="C26" s="950"/>
      <c r="D26" s="946">
        <f t="shared" si="0"/>
        <v>0</v>
      </c>
    </row>
    <row r="27" spans="1:4" ht="15.75">
      <c r="A27" s="946" t="s">
        <v>936</v>
      </c>
      <c r="B27" s="951">
        <f>B3</f>
        <v>1</v>
      </c>
      <c r="C27" s="950"/>
      <c r="D27" s="946">
        <f t="shared" si="0"/>
        <v>0</v>
      </c>
    </row>
    <row r="28" spans="1:4" ht="15.75">
      <c r="A28" s="946" t="s">
        <v>145</v>
      </c>
      <c r="B28" s="952">
        <f>B7*B3</f>
        <v>0</v>
      </c>
      <c r="C28" s="948"/>
      <c r="D28" s="946">
        <f t="shared" si="0"/>
        <v>0</v>
      </c>
    </row>
    <row r="29" spans="1:4" ht="15" customHeight="1">
      <c r="A29" s="1310" t="s">
        <v>241</v>
      </c>
      <c r="B29" s="1311"/>
      <c r="C29" s="1311"/>
      <c r="D29" s="1312"/>
    </row>
    <row r="30" spans="1:4" ht="15" customHeight="1">
      <c r="A30" s="953" t="s">
        <v>863</v>
      </c>
      <c r="B30" s="954">
        <v>0</v>
      </c>
      <c r="C30" s="955"/>
      <c r="D30" s="946">
        <f t="shared" si="0"/>
        <v>0</v>
      </c>
    </row>
    <row r="31" spans="1:4" ht="15" customHeight="1">
      <c r="A31" s="956" t="s">
        <v>864</v>
      </c>
      <c r="B31" s="954">
        <f>IF(AND(B5=0,B6=2),B3,0)</f>
        <v>0</v>
      </c>
      <c r="C31" s="955"/>
      <c r="D31" s="946">
        <f t="shared" si="0"/>
        <v>0</v>
      </c>
    </row>
    <row r="32" spans="1:4" ht="15.75">
      <c r="A32" s="956" t="s">
        <v>865</v>
      </c>
      <c r="B32" s="954">
        <v>0</v>
      </c>
      <c r="C32" s="955"/>
      <c r="D32" s="946">
        <f t="shared" si="0"/>
        <v>0</v>
      </c>
    </row>
    <row r="33" spans="1:4" ht="15.75">
      <c r="A33" s="956" t="s">
        <v>866</v>
      </c>
      <c r="B33" s="954">
        <v>0</v>
      </c>
      <c r="C33" s="955"/>
      <c r="D33" s="946">
        <f t="shared" si="0"/>
        <v>0</v>
      </c>
    </row>
    <row r="34" spans="1:4" ht="15.75">
      <c r="A34" s="957" t="s">
        <v>867</v>
      </c>
      <c r="B34" s="958">
        <f>IF(AND(B5=1,B6=5),B4,0)</f>
        <v>0</v>
      </c>
      <c r="C34" s="959"/>
      <c r="D34" s="957">
        <f t="shared" si="0"/>
        <v>0</v>
      </c>
    </row>
    <row r="35" spans="1:4" ht="15.75">
      <c r="A35" s="957" t="s">
        <v>939</v>
      </c>
      <c r="B35" s="958">
        <v>0</v>
      </c>
      <c r="C35" s="959"/>
      <c r="D35" s="957">
        <f t="shared" si="0"/>
        <v>0</v>
      </c>
    </row>
    <row r="36" spans="1:4" ht="15.75">
      <c r="A36" s="957" t="s">
        <v>868</v>
      </c>
      <c r="B36" s="958">
        <f>IF(AND(B5=1,B6=2),B3,0)</f>
        <v>0</v>
      </c>
      <c r="C36" s="959"/>
      <c r="D36" s="957">
        <f t="shared" si="0"/>
        <v>0</v>
      </c>
    </row>
  </sheetData>
  <sheetProtection algorithmName="SHA-512" hashValue="gm70pk5l7+h/qRfgX4Z+oeVUoruJG6MsrrGNyCFd+qRDI9Xk3CE+yMMpigcdH3i3Z5zQLI3Y27p/3LqPc/CObg==" saltValue="M6NdxuJ5q3aK7LKDTDZ5mg==" spinCount="100000" sheet="1" objects="1" scenarios="1"/>
  <mergeCells count="7">
    <mergeCell ref="A8:D8"/>
    <mergeCell ref="A29:D29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8"/>
  <sheetViews>
    <sheetView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D41" sqref="D41:D46"/>
    </sheetView>
  </sheetViews>
  <sheetFormatPr defaultRowHeight="11.25"/>
  <cols>
    <col min="2" max="2" width="53" customWidth="1"/>
    <col min="3" max="3" width="11.83203125" customWidth="1"/>
    <col min="4" max="4" width="12" customWidth="1"/>
    <col min="5" max="5" width="10.83203125" customWidth="1"/>
    <col min="6" max="6" width="31.33203125" customWidth="1"/>
  </cols>
  <sheetData>
    <row r="3" spans="2:6" ht="27" thickBot="1">
      <c r="B3" s="1161"/>
      <c r="C3" s="1162"/>
      <c r="D3" s="1162"/>
      <c r="E3" s="1162"/>
      <c r="F3" s="942"/>
    </row>
    <row r="4" spans="2:6">
      <c r="B4" s="960" t="s">
        <v>10</v>
      </c>
      <c r="C4" s="961">
        <v>1</v>
      </c>
      <c r="D4" s="1314" t="s">
        <v>595</v>
      </c>
      <c r="E4" s="1314"/>
      <c r="F4" s="1315"/>
    </row>
    <row r="5" spans="2:6" ht="12" thickBot="1">
      <c r="B5" s="962" t="s">
        <v>1</v>
      </c>
      <c r="C5" s="963">
        <v>0</v>
      </c>
      <c r="D5" s="1316"/>
      <c r="E5" s="1316"/>
      <c r="F5" s="1317"/>
    </row>
    <row r="6" spans="2:6">
      <c r="B6" s="960" t="s">
        <v>940</v>
      </c>
      <c r="C6" s="964">
        <v>0</v>
      </c>
      <c r="D6" s="1318" t="s">
        <v>597</v>
      </c>
      <c r="E6" s="1318"/>
      <c r="F6" s="1319"/>
    </row>
    <row r="7" spans="2:6" ht="12" thickBot="1">
      <c r="B7" s="962" t="s">
        <v>414</v>
      </c>
      <c r="C7" s="965">
        <v>0</v>
      </c>
      <c r="D7" s="1320"/>
      <c r="E7" s="1320"/>
      <c r="F7" s="1321"/>
    </row>
    <row r="8" spans="2:6" ht="20.25" customHeight="1">
      <c r="B8" s="813" t="s">
        <v>589</v>
      </c>
      <c r="C8" s="830">
        <v>4</v>
      </c>
      <c r="D8" s="1324" t="s">
        <v>958</v>
      </c>
      <c r="E8" s="1325"/>
      <c r="F8" s="1326"/>
    </row>
    <row r="9" spans="2:6" ht="12" thickBot="1">
      <c r="B9" s="814" t="s">
        <v>277</v>
      </c>
      <c r="C9" s="829">
        <v>0</v>
      </c>
      <c r="D9" s="1152" t="s">
        <v>30</v>
      </c>
      <c r="E9" s="1153"/>
      <c r="F9" s="967"/>
    </row>
    <row r="10" spans="2:6">
      <c r="B10" s="960" t="s">
        <v>397</v>
      </c>
      <c r="C10" s="964">
        <v>0</v>
      </c>
      <c r="D10" s="510" t="s">
        <v>287</v>
      </c>
      <c r="E10" s="510" t="s">
        <v>255</v>
      </c>
      <c r="F10" s="1322" t="s">
        <v>597</v>
      </c>
    </row>
    <row r="11" spans="2:6" ht="12" thickBot="1">
      <c r="B11" s="962" t="s">
        <v>398</v>
      </c>
      <c r="C11" s="965">
        <v>0</v>
      </c>
      <c r="D11" s="966" t="s">
        <v>287</v>
      </c>
      <c r="E11" s="966" t="s">
        <v>255</v>
      </c>
      <c r="F11" s="1323"/>
    </row>
    <row r="12" spans="2:6" ht="12" thickBot="1">
      <c r="B12" s="1256"/>
      <c r="C12" s="1256"/>
      <c r="D12" s="1256"/>
      <c r="E12" s="1256"/>
      <c r="F12" s="943"/>
    </row>
    <row r="13" spans="2:6" ht="13.5" thickBot="1">
      <c r="B13" s="968" t="s">
        <v>5</v>
      </c>
      <c r="C13" s="969" t="s">
        <v>0</v>
      </c>
      <c r="D13" s="970" t="s">
        <v>4</v>
      </c>
      <c r="E13" s="971" t="s">
        <v>8</v>
      </c>
      <c r="F13" s="972"/>
    </row>
    <row r="14" spans="2:6">
      <c r="B14" s="973" t="s">
        <v>399</v>
      </c>
      <c r="C14" s="992">
        <f>IF(C10=1,2*(C6+C7),0)</f>
        <v>0</v>
      </c>
      <c r="D14" s="458"/>
      <c r="E14" s="987">
        <f>C14*D14</f>
        <v>0</v>
      </c>
      <c r="F14" s="975"/>
    </row>
    <row r="15" spans="2:6">
      <c r="B15" s="341" t="s">
        <v>400</v>
      </c>
      <c r="C15" s="993">
        <f>IF(C11=1,C6+C7,0)</f>
        <v>0</v>
      </c>
      <c r="D15" s="551"/>
      <c r="E15" s="988">
        <f t="shared" ref="E15:E36" si="0">C15*D15</f>
        <v>0</v>
      </c>
      <c r="F15" s="975"/>
    </row>
    <row r="16" spans="2:6">
      <c r="B16" s="346" t="s">
        <v>941</v>
      </c>
      <c r="C16" s="994">
        <f>IF(AND(C6+C7&gt;0,C4&lt;=1),(C6+C7)*2,IF(AND(C6+C7&gt;0,C4&lt;=1.5),(C6+C7)*3,IF(AND(C6+C7&gt;0,C4&lt;=2),(C6+C7)*4,IF(AND(C6+C7&gt;0,C4&lt;=2.5),(C6+C7)*5,IF(AND(C6+C7&gt;0,C4&lt;=3),(C6+C7)*6,0)))))</f>
        <v>0</v>
      </c>
      <c r="D16" s="551"/>
      <c r="E16" s="988">
        <f t="shared" si="0"/>
        <v>0</v>
      </c>
      <c r="F16" s="975"/>
    </row>
    <row r="17" spans="2:6">
      <c r="B17" s="346" t="s">
        <v>942</v>
      </c>
      <c r="C17" s="994">
        <f>(C6+C7)</f>
        <v>0</v>
      </c>
      <c r="D17" s="551"/>
      <c r="E17" s="988">
        <f t="shared" si="0"/>
        <v>0</v>
      </c>
      <c r="F17" s="975"/>
    </row>
    <row r="18" spans="2:6">
      <c r="B18" s="346" t="s">
        <v>943</v>
      </c>
      <c r="C18" s="994">
        <f>C6+C7</f>
        <v>0</v>
      </c>
      <c r="D18" s="551"/>
      <c r="E18" s="988">
        <f t="shared" si="0"/>
        <v>0</v>
      </c>
      <c r="F18" s="975"/>
    </row>
    <row r="19" spans="2:6">
      <c r="B19" s="341" t="s">
        <v>944</v>
      </c>
      <c r="C19" s="995">
        <f>(C6+C7)*2</f>
        <v>0</v>
      </c>
      <c r="D19" s="551"/>
      <c r="E19" s="988">
        <f t="shared" si="0"/>
        <v>0</v>
      </c>
      <c r="F19" s="975"/>
    </row>
    <row r="20" spans="2:6">
      <c r="B20" s="346" t="s">
        <v>119</v>
      </c>
      <c r="C20" s="993">
        <f>IF(C7&gt;0,C4*C7,0)</f>
        <v>0</v>
      </c>
      <c r="D20" s="551"/>
      <c r="E20" s="988">
        <f t="shared" si="0"/>
        <v>0</v>
      </c>
      <c r="F20" s="975"/>
    </row>
    <row r="21" spans="2:6">
      <c r="B21" s="346" t="s">
        <v>945</v>
      </c>
      <c r="C21" s="993">
        <f>C4*(C6+C7)</f>
        <v>0</v>
      </c>
      <c r="D21" s="551"/>
      <c r="E21" s="988">
        <f t="shared" si="0"/>
        <v>0</v>
      </c>
      <c r="F21" s="975"/>
    </row>
    <row r="22" spans="2:6">
      <c r="B22" s="341" t="s">
        <v>946</v>
      </c>
      <c r="C22" s="993">
        <f>C4*C6</f>
        <v>0</v>
      </c>
      <c r="D22" s="551"/>
      <c r="E22" s="988">
        <f t="shared" si="0"/>
        <v>0</v>
      </c>
      <c r="F22" s="975"/>
    </row>
    <row r="23" spans="2:6">
      <c r="B23" s="341" t="s">
        <v>947</v>
      </c>
      <c r="C23" s="994">
        <f>C4*C6</f>
        <v>0</v>
      </c>
      <c r="D23" s="551"/>
      <c r="E23" s="988">
        <f t="shared" si="0"/>
        <v>0</v>
      </c>
      <c r="F23" s="975"/>
    </row>
    <row r="24" spans="2:6">
      <c r="B24" s="341" t="s">
        <v>948</v>
      </c>
      <c r="C24" s="993">
        <f>C4*C7</f>
        <v>0</v>
      </c>
      <c r="D24" s="551"/>
      <c r="E24" s="988">
        <f t="shared" si="0"/>
        <v>0</v>
      </c>
      <c r="F24" s="975"/>
    </row>
    <row r="25" spans="2:6">
      <c r="B25" s="341" t="s">
        <v>949</v>
      </c>
      <c r="C25" s="993">
        <f>C4*(C6+C7)</f>
        <v>0</v>
      </c>
      <c r="D25" s="551"/>
      <c r="E25" s="988">
        <f t="shared" si="0"/>
        <v>0</v>
      </c>
      <c r="F25" s="975"/>
    </row>
    <row r="26" spans="2:6">
      <c r="B26" s="341" t="s">
        <v>950</v>
      </c>
      <c r="C26" s="993">
        <f>C6</f>
        <v>0</v>
      </c>
      <c r="D26" s="551"/>
      <c r="E26" s="988">
        <f t="shared" si="0"/>
        <v>0</v>
      </c>
      <c r="F26" s="975"/>
    </row>
    <row r="27" spans="2:6">
      <c r="B27" s="346" t="s">
        <v>951</v>
      </c>
      <c r="C27" s="994">
        <f>C7</f>
        <v>0</v>
      </c>
      <c r="D27" s="551"/>
      <c r="E27" s="988">
        <f t="shared" si="0"/>
        <v>0</v>
      </c>
      <c r="F27" s="975"/>
    </row>
    <row r="28" spans="2:6">
      <c r="B28" s="346" t="s">
        <v>789</v>
      </c>
      <c r="C28" s="994">
        <f>(C6+C7)*4</f>
        <v>0</v>
      </c>
      <c r="D28" s="551"/>
      <c r="E28" s="988">
        <f t="shared" si="0"/>
        <v>0</v>
      </c>
      <c r="F28" s="975"/>
    </row>
    <row r="29" spans="2:6">
      <c r="B29" s="346" t="s">
        <v>401</v>
      </c>
      <c r="C29" s="994">
        <f>C4*(C6+C7)</f>
        <v>0</v>
      </c>
      <c r="D29" s="551"/>
      <c r="E29" s="988">
        <f t="shared" si="0"/>
        <v>0</v>
      </c>
      <c r="F29" s="975"/>
    </row>
    <row r="30" spans="2:6">
      <c r="B30" s="346" t="s">
        <v>953</v>
      </c>
      <c r="C30" s="994">
        <f>C7</f>
        <v>0</v>
      </c>
      <c r="D30" s="551"/>
      <c r="E30" s="988">
        <f t="shared" si="0"/>
        <v>0</v>
      </c>
      <c r="F30" s="975"/>
    </row>
    <row r="31" spans="2:6">
      <c r="B31" s="346" t="s">
        <v>954</v>
      </c>
      <c r="C31" s="994">
        <f>C6</f>
        <v>0</v>
      </c>
      <c r="D31" s="551"/>
      <c r="E31" s="988">
        <f t="shared" si="0"/>
        <v>0</v>
      </c>
      <c r="F31" s="975"/>
    </row>
    <row r="32" spans="2:6">
      <c r="B32" s="346" t="s">
        <v>956</v>
      </c>
      <c r="C32" s="994">
        <f>C6+C7</f>
        <v>0</v>
      </c>
      <c r="D32" s="551"/>
      <c r="E32" s="988">
        <f t="shared" si="0"/>
        <v>0</v>
      </c>
      <c r="F32" s="975"/>
    </row>
    <row r="33" spans="2:6">
      <c r="B33" s="346" t="s">
        <v>955</v>
      </c>
      <c r="C33" s="994">
        <f>C7</f>
        <v>0</v>
      </c>
      <c r="D33" s="551"/>
      <c r="E33" s="988">
        <f t="shared" si="0"/>
        <v>0</v>
      </c>
      <c r="F33" s="975"/>
    </row>
    <row r="34" spans="2:6" ht="12.75">
      <c r="B34" s="990" t="s">
        <v>145</v>
      </c>
      <c r="C34" s="994">
        <f>C9</f>
        <v>0</v>
      </c>
      <c r="D34" s="551"/>
      <c r="E34" s="988">
        <f t="shared" si="0"/>
        <v>0</v>
      </c>
      <c r="F34" s="975"/>
    </row>
    <row r="35" spans="2:6">
      <c r="B35" s="346" t="s">
        <v>402</v>
      </c>
      <c r="C35" s="994">
        <f>IF(C11=1,C4*(C6+C7),0)</f>
        <v>0</v>
      </c>
      <c r="D35" s="551"/>
      <c r="E35" s="988">
        <f t="shared" si="0"/>
        <v>0</v>
      </c>
      <c r="F35" s="975"/>
    </row>
    <row r="36" spans="2:6" ht="12" thickBot="1">
      <c r="B36" s="979" t="s">
        <v>952</v>
      </c>
      <c r="C36" s="996">
        <f>C6</f>
        <v>0</v>
      </c>
      <c r="D36" s="590"/>
      <c r="E36" s="989">
        <f t="shared" si="0"/>
        <v>0</v>
      </c>
      <c r="F36" s="975"/>
    </row>
    <row r="37" spans="2:6" ht="13.5" thickBot="1">
      <c r="B37" s="316"/>
      <c r="C37" s="316"/>
      <c r="D37" s="384" t="s">
        <v>9</v>
      </c>
      <c r="E37" s="981">
        <f>SUMIF(E14:E36,"&gt;0",E14:E36)</f>
        <v>0</v>
      </c>
      <c r="F37" s="975"/>
    </row>
    <row r="38" spans="2:6">
      <c r="F38" s="975"/>
    </row>
    <row r="39" spans="2:6">
      <c r="F39" s="975"/>
    </row>
    <row r="40" spans="2:6" ht="15.75" thickBot="1">
      <c r="B40" s="986" t="s">
        <v>957</v>
      </c>
      <c r="F40" s="975"/>
    </row>
    <row r="41" spans="2:6" ht="12.75">
      <c r="B41" s="571" t="s">
        <v>489</v>
      </c>
      <c r="C41" s="997">
        <f>IF(C8=1,C6+C7,0)</f>
        <v>0</v>
      </c>
      <c r="D41" s="982"/>
      <c r="E41" s="574">
        <f t="shared" ref="E41:E46" si="1">C41*D41</f>
        <v>0</v>
      </c>
      <c r="F41" s="975"/>
    </row>
    <row r="42" spans="2:6" ht="12.75">
      <c r="B42" s="418" t="s">
        <v>486</v>
      </c>
      <c r="C42" s="998">
        <f>IF(C8=6,C6+C7,0)</f>
        <v>0</v>
      </c>
      <c r="D42" s="611"/>
      <c r="E42" s="323">
        <f t="shared" si="1"/>
        <v>0</v>
      </c>
      <c r="F42" s="975"/>
    </row>
    <row r="43" spans="2:6" ht="12.75">
      <c r="B43" s="418" t="s">
        <v>591</v>
      </c>
      <c r="C43" s="998">
        <f>IF(C8=5,C6+C7,0)</f>
        <v>0</v>
      </c>
      <c r="D43" s="611"/>
      <c r="E43" s="323">
        <f t="shared" si="1"/>
        <v>0</v>
      </c>
      <c r="F43" s="975"/>
    </row>
    <row r="44" spans="2:6" ht="12.75">
      <c r="B44" s="418" t="s">
        <v>487</v>
      </c>
      <c r="C44" s="998">
        <f>IF(C8=2,C6+C7,0)</f>
        <v>0</v>
      </c>
      <c r="D44" s="611"/>
      <c r="E44" s="323">
        <f t="shared" si="1"/>
        <v>0</v>
      </c>
      <c r="F44" s="975"/>
    </row>
    <row r="45" spans="2:6" ht="12.75">
      <c r="B45" s="418" t="s">
        <v>488</v>
      </c>
      <c r="C45" s="998">
        <f>IF(C8=3,C6+C7,0)</f>
        <v>0</v>
      </c>
      <c r="D45" s="611"/>
      <c r="E45" s="323">
        <f t="shared" si="1"/>
        <v>0</v>
      </c>
      <c r="F45" s="975"/>
    </row>
    <row r="46" spans="2:6" ht="13.5" thickBot="1">
      <c r="B46" s="983" t="s">
        <v>494</v>
      </c>
      <c r="C46" s="999">
        <f>IF(C8=4,C6+C7,0)</f>
        <v>0</v>
      </c>
      <c r="D46" s="984"/>
      <c r="E46" s="333">
        <f t="shared" si="1"/>
        <v>0</v>
      </c>
      <c r="F46" s="975"/>
    </row>
    <row r="47" spans="2:6" ht="13.5" thickBot="1">
      <c r="D47" s="985" t="s">
        <v>9</v>
      </c>
      <c r="E47" s="991">
        <f>SUMIF(E41:E46,"&gt;0",E41:E46)</f>
        <v>0</v>
      </c>
      <c r="F47" s="975"/>
    </row>
    <row r="48" spans="2:6">
      <c r="F48" s="975"/>
    </row>
  </sheetData>
  <sheetProtection algorithmName="SHA-512" hashValue="MiL5p9Ik9aeqH8YhTTZXOPJeYstjq0UmiMKuBaR5pWSQAHdhq9Cy/PZKRlGraeD0Q1cRv8OH0N34LCKgfi0hRg==" saltValue="OYFef3iUY/TiA/B6XXQI0Q==" spinCount="100000" sheet="1" objects="1" scenarios="1"/>
  <mergeCells count="7">
    <mergeCell ref="B3:E3"/>
    <mergeCell ref="D4:F5"/>
    <mergeCell ref="D6:F7"/>
    <mergeCell ref="F10:F11"/>
    <mergeCell ref="B12:E12"/>
    <mergeCell ref="D8:F8"/>
    <mergeCell ref="D9:E9"/>
  </mergeCells>
  <conditionalFormatting sqref="C14:E36">
    <cfRule type="cellIs" dxfId="173" priority="23" operator="greaterThan">
      <formula>0</formula>
    </cfRule>
  </conditionalFormatting>
  <conditionalFormatting sqref="E37">
    <cfRule type="cellIs" dxfId="172" priority="22" operator="greaterThan">
      <formula>0</formula>
    </cfRule>
  </conditionalFormatting>
  <conditionalFormatting sqref="D41:D46">
    <cfRule type="cellIs" dxfId="171" priority="13" operator="greaterThan">
      <formula>0</formula>
    </cfRule>
    <cfRule type="cellIs" dxfId="170" priority="14" operator="greaterThan">
      <formula>0</formula>
    </cfRule>
  </conditionalFormatting>
  <conditionalFormatting sqref="C41:C42 C44:C46">
    <cfRule type="cellIs" dxfId="169" priority="19" operator="equal">
      <formula>"ДА"</formula>
    </cfRule>
    <cfRule type="cellIs" dxfId="168" priority="20" operator="equal">
      <formula>"НЕТ"</formula>
    </cfRule>
  </conditionalFormatting>
  <conditionalFormatting sqref="C41:C42 C44:C46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3">
    <cfRule type="cellIs" dxfId="167" priority="16" operator="equal">
      <formula>"ДА"</formula>
    </cfRule>
    <cfRule type="cellIs" dxfId="166" priority="17" operator="equal">
      <formula>"НЕТ"</formula>
    </cfRule>
  </conditionalFormatting>
  <conditionalFormatting sqref="C43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1:E46">
    <cfRule type="cellIs" dxfId="165" priority="15" operator="greaterThan">
      <formula>0</formula>
    </cfRule>
  </conditionalFormatting>
  <conditionalFormatting sqref="C41:C46">
    <cfRule type="cellIs" dxfId="164" priority="11" operator="equal">
      <formula>"НЕТ"</formula>
    </cfRule>
    <cfRule type="cellIs" dxfId="163" priority="12" operator="equal">
      <formula>"ДА"</formula>
    </cfRule>
  </conditionalFormatting>
  <conditionalFormatting sqref="C41:C46">
    <cfRule type="cellIs" dxfId="162" priority="10" operator="equal">
      <formula>"ДА"</formula>
    </cfRule>
  </conditionalFormatting>
  <conditionalFormatting sqref="C43">
    <cfRule type="cellIs" dxfId="161" priority="7" operator="equal">
      <formula>"ДА"</formula>
    </cfRule>
    <cfRule type="cellIs" dxfId="160" priority="8" operator="equal">
      <formula>"НЕТ"</formula>
    </cfRule>
  </conditionalFormatting>
  <conditionalFormatting sqref="C4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1:E46">
    <cfRule type="cellIs" dxfId="159" priority="1" operator="greaterThan">
      <formula>0</formula>
    </cfRule>
    <cfRule type="cellIs" dxfId="158" priority="2" operator="greaterThan">
      <formula>0</formula>
    </cfRule>
    <cfRule type="cellIs" dxfId="157" priority="6" operator="greaterThan">
      <formula>0</formula>
    </cfRule>
  </conditionalFormatting>
  <conditionalFormatting sqref="C43">
    <cfRule type="cellIs" dxfId="156" priority="3" operator="equal">
      <formula>"ДА"</formula>
    </cfRule>
    <cfRule type="cellIs" dxfId="155" priority="4" operator="equal">
      <formula>"НЕТ"</formula>
    </cfRule>
  </conditionalFormatting>
  <conditionalFormatting sqref="C43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49"/>
  <sheetViews>
    <sheetView workbookViewId="0">
      <pane xSplit="1" ySplit="14" topLeftCell="C15" activePane="bottomRight" state="frozen"/>
      <selection pane="topRight" activeCell="B1" sqref="B1"/>
      <selection pane="bottomLeft" activeCell="A15" sqref="A15"/>
      <selection pane="bottomRight" activeCell="D15" sqref="D15:D39"/>
    </sheetView>
  </sheetViews>
  <sheetFormatPr defaultRowHeight="11.25"/>
  <cols>
    <col min="2" max="2" width="53.1640625" customWidth="1"/>
    <col min="3" max="3" width="13.83203125" customWidth="1"/>
    <col min="4" max="4" width="13.1640625" customWidth="1"/>
    <col min="5" max="5" width="14.1640625" customWidth="1"/>
    <col min="6" max="6" width="29" customWidth="1"/>
  </cols>
  <sheetData>
    <row r="3" spans="2:6" ht="27" thickBot="1">
      <c r="B3" s="1161"/>
      <c r="C3" s="1162"/>
      <c r="D3" s="1162"/>
      <c r="E3" s="1162"/>
      <c r="F3" s="944"/>
    </row>
    <row r="4" spans="2:6">
      <c r="B4" s="960" t="s">
        <v>10</v>
      </c>
      <c r="C4" s="961">
        <v>0</v>
      </c>
      <c r="D4" s="1314" t="s">
        <v>595</v>
      </c>
      <c r="E4" s="1314"/>
      <c r="F4" s="1315"/>
    </row>
    <row r="5" spans="2:6" ht="12" thickBot="1">
      <c r="B5" s="962" t="s">
        <v>1</v>
      </c>
      <c r="C5" s="963">
        <v>0</v>
      </c>
      <c r="D5" s="1316"/>
      <c r="E5" s="1316"/>
      <c r="F5" s="1317"/>
    </row>
    <row r="6" spans="2:6">
      <c r="B6" s="960" t="s">
        <v>940</v>
      </c>
      <c r="C6" s="964">
        <v>0</v>
      </c>
      <c r="D6" s="1318" t="s">
        <v>597</v>
      </c>
      <c r="E6" s="1318"/>
      <c r="F6" s="1319"/>
    </row>
    <row r="7" spans="2:6" ht="12" thickBot="1">
      <c r="B7" s="962" t="s">
        <v>414</v>
      </c>
      <c r="C7" s="965">
        <v>0</v>
      </c>
      <c r="D7" s="1320"/>
      <c r="E7" s="1320"/>
      <c r="F7" s="1321"/>
    </row>
    <row r="8" spans="2:6" ht="12" thickBot="1">
      <c r="B8" s="1000" t="s">
        <v>959</v>
      </c>
      <c r="C8" s="964">
        <v>0</v>
      </c>
      <c r="D8" s="510" t="s">
        <v>960</v>
      </c>
      <c r="E8" s="364" t="s">
        <v>961</v>
      </c>
      <c r="F8" s="1001"/>
    </row>
    <row r="9" spans="2:6" ht="24" customHeight="1">
      <c r="B9" s="813" t="s">
        <v>589</v>
      </c>
      <c r="C9" s="830">
        <v>4</v>
      </c>
      <c r="D9" s="1324" t="s">
        <v>958</v>
      </c>
      <c r="E9" s="1325"/>
      <c r="F9" s="1326"/>
    </row>
    <row r="10" spans="2:6" ht="12" thickBot="1">
      <c r="B10" s="814" t="s">
        <v>277</v>
      </c>
      <c r="C10" s="829">
        <v>0</v>
      </c>
      <c r="D10" s="1152" t="s">
        <v>30</v>
      </c>
      <c r="E10" s="1153"/>
      <c r="F10" s="967"/>
    </row>
    <row r="11" spans="2:6" ht="11.25" customHeight="1">
      <c r="B11" s="960" t="s">
        <v>397</v>
      </c>
      <c r="C11" s="964">
        <v>0</v>
      </c>
      <c r="D11" s="510" t="s">
        <v>287</v>
      </c>
      <c r="E11" s="364" t="s">
        <v>255</v>
      </c>
      <c r="F11" s="1327" t="s">
        <v>597</v>
      </c>
    </row>
    <row r="12" spans="2:6" ht="12" thickBot="1">
      <c r="B12" s="962" t="s">
        <v>398</v>
      </c>
      <c r="C12" s="965">
        <v>0</v>
      </c>
      <c r="D12" s="966" t="s">
        <v>287</v>
      </c>
      <c r="E12" s="1002" t="s">
        <v>255</v>
      </c>
      <c r="F12" s="1328"/>
    </row>
    <row r="13" spans="2:6" ht="12" thickBot="1">
      <c r="B13" s="1256"/>
      <c r="C13" s="1256"/>
      <c r="D13" s="1256"/>
      <c r="E13" s="1256"/>
      <c r="F13" s="945"/>
    </row>
    <row r="14" spans="2:6" ht="13.5" thickBot="1">
      <c r="B14" s="968" t="s">
        <v>5</v>
      </c>
      <c r="C14" s="969" t="s">
        <v>0</v>
      </c>
      <c r="D14" s="970" t="s">
        <v>4</v>
      </c>
      <c r="E14" s="971" t="s">
        <v>8</v>
      </c>
      <c r="F14" s="972"/>
    </row>
    <row r="15" spans="2:6">
      <c r="B15" s="973" t="s">
        <v>399</v>
      </c>
      <c r="C15" s="992">
        <f>IF(C11=1,C6+C7,0)</f>
        <v>0</v>
      </c>
      <c r="D15" s="458"/>
      <c r="E15" s="1003">
        <v>0</v>
      </c>
      <c r="F15" s="975"/>
    </row>
    <row r="16" spans="2:6">
      <c r="B16" s="341" t="s">
        <v>400</v>
      </c>
      <c r="C16" s="993">
        <f>IF(C12=1,C6+C7,0)</f>
        <v>0</v>
      </c>
      <c r="D16" s="551"/>
      <c r="E16" s="1004">
        <v>0</v>
      </c>
      <c r="F16" s="975"/>
    </row>
    <row r="17" spans="2:6">
      <c r="B17" s="346" t="s">
        <v>962</v>
      </c>
      <c r="C17" s="994">
        <f>IF(AND(C6+C7&gt;0,C4&lt;=1),(C6+C7)*2,IF(AND(C6+C7&gt;0,C4&lt;=1.5),(C6+C7)*3,IF(AND(C6+C7&gt;0,C4&lt;=2),(C6+C7)*4,IF(AND(C6+C7&gt;0,C4&lt;=2.5),(C6+C7)*5,IF(AND(C6+C7&gt;0,C4&lt;=3),(C6+C7)*6,0)))))</f>
        <v>0</v>
      </c>
      <c r="D17" s="551"/>
      <c r="E17" s="1004">
        <v>0</v>
      </c>
      <c r="F17" s="975"/>
    </row>
    <row r="18" spans="2:6">
      <c r="B18" s="346" t="s">
        <v>963</v>
      </c>
      <c r="C18" s="994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18" s="551"/>
      <c r="E18" s="1004">
        <v>0</v>
      </c>
      <c r="F18" s="975"/>
    </row>
    <row r="19" spans="2:6">
      <c r="B19" s="346" t="s">
        <v>964</v>
      </c>
      <c r="C19" s="994">
        <f>C6+C7</f>
        <v>0</v>
      </c>
      <c r="D19" s="551"/>
      <c r="E19" s="1004">
        <v>0</v>
      </c>
      <c r="F19" s="975"/>
    </row>
    <row r="20" spans="2:6">
      <c r="B20" s="346" t="s">
        <v>965</v>
      </c>
      <c r="C20" s="994">
        <f>C6+C7</f>
        <v>0</v>
      </c>
      <c r="D20" s="551"/>
      <c r="E20" s="1004">
        <v>0</v>
      </c>
      <c r="F20" s="975"/>
    </row>
    <row r="21" spans="2:6">
      <c r="B21" s="341" t="s">
        <v>966</v>
      </c>
      <c r="C21" s="995">
        <f>C6+C7</f>
        <v>0</v>
      </c>
      <c r="D21" s="551"/>
      <c r="E21" s="1004">
        <v>0</v>
      </c>
      <c r="F21" s="975"/>
    </row>
    <row r="22" spans="2:6">
      <c r="B22" s="346" t="s">
        <v>119</v>
      </c>
      <c r="C22" s="993">
        <f>IF(C7&gt;0,C4*C7,0)</f>
        <v>0</v>
      </c>
      <c r="D22" s="551"/>
      <c r="E22" s="1004">
        <v>0</v>
      </c>
      <c r="F22" s="975"/>
    </row>
    <row r="23" spans="2:6">
      <c r="B23" s="346" t="s">
        <v>945</v>
      </c>
      <c r="C23" s="993">
        <f>C4*(C6+C7)</f>
        <v>0</v>
      </c>
      <c r="D23" s="551"/>
      <c r="E23" s="1004">
        <v>0</v>
      </c>
      <c r="F23" s="975"/>
    </row>
    <row r="24" spans="2:6">
      <c r="B24" s="341" t="s">
        <v>946</v>
      </c>
      <c r="C24" s="993">
        <f>C4*C6</f>
        <v>0</v>
      </c>
      <c r="D24" s="551"/>
      <c r="E24" s="1004">
        <v>0</v>
      </c>
      <c r="F24" s="975"/>
    </row>
    <row r="25" spans="2:6">
      <c r="B25" s="341" t="s">
        <v>947</v>
      </c>
      <c r="C25" s="994">
        <f>C4*C6</f>
        <v>0</v>
      </c>
      <c r="D25" s="551"/>
      <c r="E25" s="1004">
        <v>0</v>
      </c>
      <c r="F25" s="975"/>
    </row>
    <row r="26" spans="2:6">
      <c r="B26" s="341" t="s">
        <v>948</v>
      </c>
      <c r="C26" s="993">
        <f>C7*C4</f>
        <v>0</v>
      </c>
      <c r="D26" s="551"/>
      <c r="E26" s="1004">
        <v>0</v>
      </c>
      <c r="F26" s="975"/>
    </row>
    <row r="27" spans="2:6">
      <c r="B27" s="341" t="s">
        <v>967</v>
      </c>
      <c r="C27" s="993">
        <f>C4*(C6+C7)</f>
        <v>0</v>
      </c>
      <c r="D27" s="551"/>
      <c r="E27" s="1004">
        <v>0</v>
      </c>
      <c r="F27" s="975"/>
    </row>
    <row r="28" spans="2:6">
      <c r="B28" s="341" t="s">
        <v>968</v>
      </c>
      <c r="C28" s="993">
        <f>C4*(C6+C7)</f>
        <v>0</v>
      </c>
      <c r="D28" s="551"/>
      <c r="E28" s="1004">
        <v>0</v>
      </c>
      <c r="F28" s="975"/>
    </row>
    <row r="29" spans="2:6">
      <c r="B29" s="341" t="s">
        <v>950</v>
      </c>
      <c r="C29" s="993">
        <f>C6</f>
        <v>0</v>
      </c>
      <c r="D29" s="551"/>
      <c r="E29" s="1004">
        <v>0</v>
      </c>
      <c r="F29" s="975"/>
    </row>
    <row r="30" spans="2:6">
      <c r="B30" s="346" t="s">
        <v>951</v>
      </c>
      <c r="C30" s="994">
        <f>C7</f>
        <v>0</v>
      </c>
      <c r="D30" s="551"/>
      <c r="E30" s="1004">
        <v>0</v>
      </c>
      <c r="F30" s="975"/>
    </row>
    <row r="31" spans="2:6">
      <c r="B31" s="346" t="s">
        <v>789</v>
      </c>
      <c r="C31" s="994">
        <f>(C6+C7)*8</f>
        <v>0</v>
      </c>
      <c r="D31" s="551"/>
      <c r="E31" s="1004">
        <v>0</v>
      </c>
      <c r="F31" s="975"/>
    </row>
    <row r="32" spans="2:6">
      <c r="B32" s="346" t="s">
        <v>401</v>
      </c>
      <c r="C32" s="994">
        <f>C4*(C6+C7)</f>
        <v>0</v>
      </c>
      <c r="D32" s="551"/>
      <c r="E32" s="1004">
        <v>0</v>
      </c>
      <c r="F32" s="975"/>
    </row>
    <row r="33" spans="2:6">
      <c r="B33" s="346" t="s">
        <v>953</v>
      </c>
      <c r="C33" s="994">
        <f>C7</f>
        <v>0</v>
      </c>
      <c r="D33" s="551"/>
      <c r="E33" s="1004"/>
      <c r="F33" s="975"/>
    </row>
    <row r="34" spans="2:6">
      <c r="B34" s="346" t="s">
        <v>954</v>
      </c>
      <c r="C34" s="994">
        <f>C6</f>
        <v>0</v>
      </c>
      <c r="D34" s="551"/>
      <c r="E34" s="1004"/>
      <c r="F34" s="975"/>
    </row>
    <row r="35" spans="2:6">
      <c r="B35" s="346" t="s">
        <v>956</v>
      </c>
      <c r="C35" s="994">
        <f>C6+C7</f>
        <v>0</v>
      </c>
      <c r="D35" s="551"/>
      <c r="E35" s="1004"/>
      <c r="F35" s="975"/>
    </row>
    <row r="36" spans="2:6">
      <c r="B36" s="346" t="s">
        <v>955</v>
      </c>
      <c r="C36" s="994">
        <f>C7</f>
        <v>0</v>
      </c>
      <c r="D36" s="551"/>
      <c r="E36" s="1004"/>
      <c r="F36" s="975"/>
    </row>
    <row r="37" spans="2:6" ht="12.75">
      <c r="B37" s="990" t="s">
        <v>145</v>
      </c>
      <c r="C37" s="994">
        <f>C10</f>
        <v>0</v>
      </c>
      <c r="D37" s="551"/>
      <c r="E37" s="1004"/>
      <c r="F37" s="975"/>
    </row>
    <row r="38" spans="2:6">
      <c r="B38" s="346" t="s">
        <v>402</v>
      </c>
      <c r="C38" s="994">
        <f>IF(C12=1,C4*(C6+C7),0)</f>
        <v>0</v>
      </c>
      <c r="D38" s="551"/>
      <c r="E38" s="1004">
        <v>0</v>
      </c>
      <c r="F38" s="975"/>
    </row>
    <row r="39" spans="2:6" ht="12" thickBot="1">
      <c r="B39" s="979" t="s">
        <v>952</v>
      </c>
      <c r="C39" s="996">
        <f>C6</f>
        <v>0</v>
      </c>
      <c r="D39" s="590"/>
      <c r="E39" s="1005">
        <v>0</v>
      </c>
      <c r="F39" s="975"/>
    </row>
    <row r="40" spans="2:6" ht="13.5" thickBot="1">
      <c r="B40" s="316"/>
      <c r="C40" s="316"/>
      <c r="D40" s="384" t="s">
        <v>9</v>
      </c>
      <c r="E40" s="981">
        <f>SUMIF(E15:E39,"&gt;0",E15:E39)</f>
        <v>0</v>
      </c>
      <c r="F40" s="975"/>
    </row>
    <row r="41" spans="2:6">
      <c r="F41" s="975"/>
    </row>
    <row r="42" spans="2:6" ht="15.75" thickBot="1">
      <c r="B42" s="986" t="s">
        <v>957</v>
      </c>
      <c r="F42" s="975"/>
    </row>
    <row r="43" spans="2:6" ht="12.75">
      <c r="B43" s="571" t="s">
        <v>489</v>
      </c>
      <c r="C43" s="997">
        <f>IF(C9=1,C6+C7,0)</f>
        <v>0</v>
      </c>
      <c r="D43" s="982"/>
      <c r="E43" s="574">
        <f t="shared" ref="E43:E48" si="0">C43*D43</f>
        <v>0</v>
      </c>
      <c r="F43" s="975"/>
    </row>
    <row r="44" spans="2:6" ht="12.75">
      <c r="B44" s="418" t="s">
        <v>486</v>
      </c>
      <c r="C44" s="998">
        <f>IF(C9=6,C6+C7,0)</f>
        <v>0</v>
      </c>
      <c r="D44" s="611"/>
      <c r="E44" s="323">
        <f t="shared" si="0"/>
        <v>0</v>
      </c>
      <c r="F44" s="975"/>
    </row>
    <row r="45" spans="2:6" ht="12.75">
      <c r="B45" s="418" t="s">
        <v>591</v>
      </c>
      <c r="C45" s="998">
        <f>IF(C9=5,C6+C7,0)</f>
        <v>0</v>
      </c>
      <c r="D45" s="611"/>
      <c r="E45" s="323">
        <f t="shared" si="0"/>
        <v>0</v>
      </c>
      <c r="F45" s="975"/>
    </row>
    <row r="46" spans="2:6" ht="12.75">
      <c r="B46" s="418" t="s">
        <v>487</v>
      </c>
      <c r="C46" s="998">
        <f>IF(C9=2,C6+C7,0)</f>
        <v>0</v>
      </c>
      <c r="D46" s="611"/>
      <c r="E46" s="323">
        <f t="shared" si="0"/>
        <v>0</v>
      </c>
      <c r="F46" s="975"/>
    </row>
    <row r="47" spans="2:6" ht="12.75">
      <c r="B47" s="418" t="s">
        <v>488</v>
      </c>
      <c r="C47" s="998">
        <f>IF(C9=3,C6+C7,0)</f>
        <v>0</v>
      </c>
      <c r="D47" s="611"/>
      <c r="E47" s="323">
        <f t="shared" si="0"/>
        <v>0</v>
      </c>
      <c r="F47" s="975"/>
    </row>
    <row r="48" spans="2:6" ht="13.5" thickBot="1">
      <c r="B48" s="983" t="s">
        <v>494</v>
      </c>
      <c r="C48" s="999">
        <f>IF(C9=4,C6+C7,0)</f>
        <v>0</v>
      </c>
      <c r="D48" s="984"/>
      <c r="E48" s="333">
        <f t="shared" si="0"/>
        <v>0</v>
      </c>
      <c r="F48" s="975"/>
    </row>
    <row r="49" spans="4:5" ht="13.5" thickBot="1">
      <c r="D49" s="985" t="s">
        <v>9</v>
      </c>
      <c r="E49" s="991">
        <f>SUMIF(E43:E48,"&gt;0",E43:E48)</f>
        <v>0</v>
      </c>
    </row>
  </sheetData>
  <sheetProtection algorithmName="SHA-512" hashValue="tDJlvA9VGQdc0w47bOwESkbixh0J0Gfuc9BsTVkUAe8w0Uym00gSKJM8eDgi4SVJYYD1aXnK9zjwWk/u4zaGqw==" saltValue="PJNpEvP0Wr0uXpYhVBERrw==" spinCount="100000" sheet="1" objects="1" scenarios="1"/>
  <mergeCells count="7">
    <mergeCell ref="B3:E3"/>
    <mergeCell ref="D4:F5"/>
    <mergeCell ref="D6:F7"/>
    <mergeCell ref="F11:F12"/>
    <mergeCell ref="B13:E13"/>
    <mergeCell ref="D9:F9"/>
    <mergeCell ref="D10:E10"/>
  </mergeCells>
  <conditionalFormatting sqref="C15:E39">
    <cfRule type="cellIs" dxfId="154" priority="22" operator="greaterThan">
      <formula>0</formula>
    </cfRule>
  </conditionalFormatting>
  <conditionalFormatting sqref="E40">
    <cfRule type="cellIs" dxfId="153" priority="23" operator="greaterThan">
      <formula>0</formula>
    </cfRule>
  </conditionalFormatting>
  <conditionalFormatting sqref="D43:D48">
    <cfRule type="cellIs" dxfId="152" priority="13" operator="greaterThan">
      <formula>0</formula>
    </cfRule>
    <cfRule type="cellIs" dxfId="151" priority="14" operator="greaterThan">
      <formula>0</formula>
    </cfRule>
  </conditionalFormatting>
  <conditionalFormatting sqref="C43:C44 C46:C48">
    <cfRule type="cellIs" dxfId="150" priority="19" operator="equal">
      <formula>"ДА"</formula>
    </cfRule>
    <cfRule type="cellIs" dxfId="149" priority="20" operator="equal">
      <formula>"НЕТ"</formula>
    </cfRule>
  </conditionalFormatting>
  <conditionalFormatting sqref="C43:C44 C46:C4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45">
    <cfRule type="cellIs" dxfId="148" priority="16" operator="equal">
      <formula>"ДА"</formula>
    </cfRule>
    <cfRule type="cellIs" dxfId="147" priority="17" operator="equal">
      <formula>"НЕТ"</formula>
    </cfRule>
  </conditionalFormatting>
  <conditionalFormatting sqref="C4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3:E48">
    <cfRule type="cellIs" dxfId="146" priority="15" operator="greaterThan">
      <formula>0</formula>
    </cfRule>
  </conditionalFormatting>
  <conditionalFormatting sqref="C43:C48">
    <cfRule type="cellIs" dxfId="145" priority="11" operator="equal">
      <formula>"НЕТ"</formula>
    </cfRule>
    <cfRule type="cellIs" dxfId="144" priority="12" operator="equal">
      <formula>"ДА"</formula>
    </cfRule>
  </conditionalFormatting>
  <conditionalFormatting sqref="C43:C48">
    <cfRule type="cellIs" dxfId="143" priority="10" operator="equal">
      <formula>"ДА"</formula>
    </cfRule>
  </conditionalFormatting>
  <conditionalFormatting sqref="C45">
    <cfRule type="cellIs" dxfId="142" priority="7" operator="equal">
      <formula>"ДА"</formula>
    </cfRule>
    <cfRule type="cellIs" dxfId="141" priority="8" operator="equal">
      <formula>"НЕТ"</formula>
    </cfRule>
  </conditionalFormatting>
  <conditionalFormatting sqref="C4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3:E48">
    <cfRule type="cellIs" dxfId="140" priority="1" operator="greaterThan">
      <formula>0</formula>
    </cfRule>
    <cfRule type="cellIs" dxfId="139" priority="2" operator="greaterThan">
      <formula>0</formula>
    </cfRule>
    <cfRule type="cellIs" dxfId="138" priority="6" operator="greaterThan">
      <formula>0</formula>
    </cfRule>
  </conditionalFormatting>
  <conditionalFormatting sqref="C45">
    <cfRule type="cellIs" dxfId="137" priority="3" operator="equal">
      <formula>"ДА"</formula>
    </cfRule>
    <cfRule type="cellIs" dxfId="136" priority="4" operator="equal">
      <formula>"НЕТ"</formula>
    </cfRule>
  </conditionalFormatting>
  <conditionalFormatting sqref="C4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4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F34" sqref="F34"/>
    </sheetView>
  </sheetViews>
  <sheetFormatPr defaultRowHeight="11.25"/>
  <cols>
    <col min="2" max="2" width="51.6640625" customWidth="1"/>
    <col min="4" max="4" width="10" customWidth="1"/>
    <col min="6" max="6" width="38.83203125" customWidth="1"/>
  </cols>
  <sheetData>
    <row r="3" spans="2:6" ht="27" thickBot="1">
      <c r="B3" s="1161"/>
      <c r="C3" s="1162"/>
      <c r="D3" s="1162"/>
      <c r="E3" s="1162"/>
      <c r="F3" s="944"/>
    </row>
    <row r="4" spans="2:6">
      <c r="B4" s="960" t="s">
        <v>970</v>
      </c>
      <c r="C4" s="961">
        <v>2</v>
      </c>
      <c r="D4" s="1258" t="s">
        <v>595</v>
      </c>
      <c r="E4" s="1259"/>
      <c r="F4" s="1260"/>
    </row>
    <row r="5" spans="2:6" ht="12" thickBot="1">
      <c r="B5" s="962" t="s">
        <v>558</v>
      </c>
      <c r="C5" s="963">
        <v>0</v>
      </c>
      <c r="D5" s="1329"/>
      <c r="E5" s="1330"/>
      <c r="F5" s="1331"/>
    </row>
    <row r="6" spans="2:6">
      <c r="B6" s="960" t="s">
        <v>971</v>
      </c>
      <c r="C6" s="961">
        <v>4</v>
      </c>
      <c r="D6" s="1329"/>
      <c r="E6" s="1330"/>
      <c r="F6" s="1331"/>
    </row>
    <row r="7" spans="2:6" ht="12" thickBot="1">
      <c r="B7" s="962" t="s">
        <v>559</v>
      </c>
      <c r="C7" s="963">
        <v>0</v>
      </c>
      <c r="D7" s="1261"/>
      <c r="E7" s="1262"/>
      <c r="F7" s="1263"/>
    </row>
    <row r="8" spans="2:6">
      <c r="B8" s="960" t="s">
        <v>940</v>
      </c>
      <c r="C8" s="964">
        <v>1</v>
      </c>
      <c r="D8" s="1318" t="s">
        <v>597</v>
      </c>
      <c r="E8" s="1318"/>
      <c r="F8" s="1319"/>
    </row>
    <row r="9" spans="2:6" ht="12" thickBot="1">
      <c r="B9" s="962" t="s">
        <v>414</v>
      </c>
      <c r="C9" s="965">
        <v>0</v>
      </c>
      <c r="D9" s="1320"/>
      <c r="E9" s="1320"/>
      <c r="F9" s="1321"/>
    </row>
    <row r="10" spans="2:6" ht="12" thickBot="1">
      <c r="B10" s="1000" t="s">
        <v>959</v>
      </c>
      <c r="C10" s="964">
        <v>1</v>
      </c>
      <c r="D10" s="510" t="s">
        <v>960</v>
      </c>
      <c r="E10" s="364" t="s">
        <v>961</v>
      </c>
      <c r="F10" s="1001"/>
    </row>
    <row r="11" spans="2:6" ht="21.75" customHeight="1">
      <c r="B11" s="813" t="s">
        <v>589</v>
      </c>
      <c r="C11" s="830">
        <v>4</v>
      </c>
      <c r="D11" s="1324" t="s">
        <v>958</v>
      </c>
      <c r="E11" s="1325"/>
      <c r="F11" s="1326"/>
    </row>
    <row r="12" spans="2:6" ht="12" thickBot="1">
      <c r="B12" s="814" t="s">
        <v>277</v>
      </c>
      <c r="C12" s="829">
        <v>0</v>
      </c>
      <c r="D12" s="1152" t="s">
        <v>30</v>
      </c>
      <c r="E12" s="1153"/>
      <c r="F12" s="967"/>
    </row>
    <row r="13" spans="2:6">
      <c r="B13" s="960" t="s">
        <v>397</v>
      </c>
      <c r="C13" s="964">
        <v>0</v>
      </c>
      <c r="D13" s="510" t="s">
        <v>287</v>
      </c>
      <c r="E13" s="364" t="s">
        <v>255</v>
      </c>
      <c r="F13" s="1327" t="s">
        <v>597</v>
      </c>
    </row>
    <row r="14" spans="2:6" ht="12" thickBot="1">
      <c r="B14" s="962" t="s">
        <v>398</v>
      </c>
      <c r="C14" s="965">
        <v>0</v>
      </c>
      <c r="D14" s="966" t="s">
        <v>287</v>
      </c>
      <c r="E14" s="1002" t="s">
        <v>255</v>
      </c>
      <c r="F14" s="1328"/>
    </row>
    <row r="15" spans="2:6" ht="12" thickBot="1">
      <c r="B15" s="1256"/>
      <c r="C15" s="1256"/>
      <c r="D15" s="1256"/>
      <c r="E15" s="1256"/>
      <c r="F15" s="945"/>
    </row>
    <row r="16" spans="2:6" ht="13.5" thickBot="1">
      <c r="B16" s="968" t="s">
        <v>5</v>
      </c>
      <c r="C16" s="969" t="s">
        <v>0</v>
      </c>
      <c r="D16" s="970" t="s">
        <v>4</v>
      </c>
      <c r="E16" s="971" t="s">
        <v>8</v>
      </c>
      <c r="F16" s="972"/>
    </row>
    <row r="17" spans="2:6">
      <c r="B17" s="973" t="s">
        <v>399</v>
      </c>
      <c r="C17" s="1006">
        <f>C13*2*(C8+C9)*2</f>
        <v>0</v>
      </c>
      <c r="D17" s="458"/>
      <c r="E17" s="1003">
        <f t="shared" ref="E17:E43" si="0">D17*C17</f>
        <v>0</v>
      </c>
      <c r="F17" s="975"/>
    </row>
    <row r="18" spans="2:6">
      <c r="B18" s="341" t="s">
        <v>400</v>
      </c>
      <c r="C18" s="342">
        <f>C14*(C8+C9)*2</f>
        <v>0</v>
      </c>
      <c r="D18" s="551"/>
      <c r="E18" s="1004">
        <f t="shared" si="0"/>
        <v>0</v>
      </c>
      <c r="F18" s="975"/>
    </row>
    <row r="19" spans="2:6">
      <c r="B19" s="346" t="s">
        <v>962</v>
      </c>
      <c r="C19" s="347">
        <f>IF(AND(C8+C9&gt;0,C4+C6&lt;=1),(C8+C9)*2,IF(AND(C8+C9&gt;0,C4+C6&lt;=1.5),(C8+C9)*3,IF(AND(C8+C9&gt;0,C4+C6&lt;=2),(C8+C9)*4,IF(AND(C8+C9&gt;0,C4+C6&lt;=2.5),(C8+C9)*5,IF(AND(C8+C9&gt;0,C4+C6&lt;=3),(C8+C9)*6,IF(AND(C8+C9&gt;0,C4+C6&lt;=3.5),(C8+C9)*7,IF(AND(C8+C9&gt;0,C4+C6&lt;=4),(C8+C9)*8,IF(AND(C8+C9&gt;0,C4+C6&lt;=4.5),(C8+C9)*9,IF(AND(C8+C9&gt;0,C4+C6&lt;=5),(C8+C9)*9,IF(AND(C8+C9&gt;0,C4+C6&lt;=5.5),(C8)*10,IF(AND(C8+C9&gt;0,C4+C6&lt;=6),(C8+C9)*11,0)))))))))))</f>
        <v>11</v>
      </c>
      <c r="D19" s="551"/>
      <c r="E19" s="1004">
        <f t="shared" si="0"/>
        <v>0</v>
      </c>
      <c r="F19" s="975"/>
    </row>
    <row r="20" spans="2:6">
      <c r="B20" s="346" t="s">
        <v>963</v>
      </c>
      <c r="C20" s="347">
        <f>IF(AND(C8+C9&gt;0,C4+C6&lt;=1,C10=1),(C8+C9)*2,IF(AND(C8+C9&gt;0,C4+C6&lt;=1.5,C10=1),(C8+C9)*3,IF(AND(C8+C9&gt;0,C4+C6&lt;=2,C10=1),(C8+C9)*4,IF(AND(C8+C9&gt;0,C4+C6&lt;=2.5,C10=1),(C8+C9)*5,IF(AND(C8+C9&gt;0,C4+C6&lt;=3,C10=1),(C8+C9)*6,IF(AND(C8+C9&gt;0,C4+C6&lt;=3.5,C10=1),(C8+C9)*7,IF(AND(C8+C9&gt;0,C4+C6&lt;=4,C10=1),(C8+C9)*8,IF(AND(C8+C9&gt;0,C4+C6&lt;=4.5,C10=1),(C8+C9)*9,IF(AND(C8+C9&gt;0,C4+C6&lt;=5,C10=1),(C8+C9)*9,IF(AND(C8+C9&gt;0,C4+C6&lt;=5.5,C10=1),(C8+C9)*10,IF(AND(C8+C9&gt;0,C4+C6&lt;=6,C10=1),(C8+C9)*11,0)))))))))))</f>
        <v>11</v>
      </c>
      <c r="D20" s="551"/>
      <c r="E20" s="1004">
        <f t="shared" si="0"/>
        <v>0</v>
      </c>
      <c r="F20" s="975"/>
    </row>
    <row r="21" spans="2:6">
      <c r="B21" s="346" t="s">
        <v>972</v>
      </c>
      <c r="C21" s="347">
        <f>C8+C9</f>
        <v>1</v>
      </c>
      <c r="D21" s="551"/>
      <c r="E21" s="1004">
        <f t="shared" si="0"/>
        <v>0</v>
      </c>
      <c r="F21" s="975"/>
    </row>
    <row r="22" spans="2:6">
      <c r="B22" s="346" t="s">
        <v>973</v>
      </c>
      <c r="C22" s="347">
        <f>C9*2</f>
        <v>0</v>
      </c>
      <c r="D22" s="551"/>
      <c r="E22" s="1004">
        <f t="shared" si="0"/>
        <v>0</v>
      </c>
      <c r="F22" s="975"/>
    </row>
    <row r="23" spans="2:6">
      <c r="B23" s="346" t="s">
        <v>974</v>
      </c>
      <c r="C23" s="347">
        <f>C8+C9</f>
        <v>1</v>
      </c>
      <c r="D23" s="551"/>
      <c r="E23" s="1004">
        <f t="shared" si="0"/>
        <v>0</v>
      </c>
      <c r="F23" s="975"/>
    </row>
    <row r="24" spans="2:6">
      <c r="B24" s="346" t="s">
        <v>965</v>
      </c>
      <c r="C24" s="347">
        <f>IF(C4&gt;0,(C8+C9)*2,0)</f>
        <v>2</v>
      </c>
      <c r="D24" s="551"/>
      <c r="E24" s="1004">
        <f t="shared" si="0"/>
        <v>0</v>
      </c>
      <c r="F24" s="975"/>
    </row>
    <row r="25" spans="2:6">
      <c r="B25" s="341" t="s">
        <v>966</v>
      </c>
      <c r="C25" s="350">
        <f>(C8+C9)</f>
        <v>1</v>
      </c>
      <c r="D25" s="551"/>
      <c r="E25" s="1004">
        <f t="shared" si="0"/>
        <v>0</v>
      </c>
      <c r="F25" s="975"/>
    </row>
    <row r="26" spans="2:6">
      <c r="B26" s="346" t="s">
        <v>119</v>
      </c>
      <c r="C26" s="342">
        <f>IF(C9&gt;0,(C4+C6)*C9,0)</f>
        <v>0</v>
      </c>
      <c r="D26" s="551"/>
      <c r="E26" s="1004">
        <f t="shared" si="0"/>
        <v>0</v>
      </c>
      <c r="F26" s="975"/>
    </row>
    <row r="27" spans="2:6">
      <c r="B27" s="346" t="s">
        <v>945</v>
      </c>
      <c r="C27" s="342">
        <f>(C4+C6)*(C8+C9)</f>
        <v>6</v>
      </c>
      <c r="D27" s="551"/>
      <c r="E27" s="1004">
        <f t="shared" si="0"/>
        <v>0</v>
      </c>
      <c r="F27" s="975"/>
    </row>
    <row r="28" spans="2:6">
      <c r="B28" s="341" t="s">
        <v>946</v>
      </c>
      <c r="C28" s="342">
        <f>(C4+C6)*C8</f>
        <v>6</v>
      </c>
      <c r="D28" s="551"/>
      <c r="E28" s="1004">
        <f t="shared" si="0"/>
        <v>0</v>
      </c>
      <c r="F28" s="975"/>
    </row>
    <row r="29" spans="2:6">
      <c r="B29" s="341" t="s">
        <v>947</v>
      </c>
      <c r="C29" s="347">
        <f>(C4+C6)*C8</f>
        <v>6</v>
      </c>
      <c r="D29" s="551"/>
      <c r="E29" s="1004">
        <f t="shared" si="0"/>
        <v>0</v>
      </c>
      <c r="F29" s="975"/>
    </row>
    <row r="30" spans="2:6">
      <c r="B30" s="341" t="s">
        <v>948</v>
      </c>
      <c r="C30" s="342">
        <f>(C4+C6)*C9</f>
        <v>0</v>
      </c>
      <c r="D30" s="551"/>
      <c r="E30" s="1004">
        <f t="shared" si="0"/>
        <v>0</v>
      </c>
      <c r="F30" s="975"/>
    </row>
    <row r="31" spans="2:6">
      <c r="B31" s="346" t="s">
        <v>953</v>
      </c>
      <c r="C31" s="347">
        <f>C9</f>
        <v>0</v>
      </c>
      <c r="D31" s="551"/>
      <c r="E31" s="1004"/>
      <c r="F31" s="975"/>
    </row>
    <row r="32" spans="2:6">
      <c r="B32" s="346" t="s">
        <v>954</v>
      </c>
      <c r="C32" s="347">
        <f>C8</f>
        <v>1</v>
      </c>
      <c r="D32" s="551"/>
      <c r="E32" s="1004"/>
      <c r="F32" s="975"/>
    </row>
    <row r="33" spans="2:6">
      <c r="B33" s="346" t="s">
        <v>956</v>
      </c>
      <c r="C33" s="347">
        <f>C8+C9</f>
        <v>1</v>
      </c>
      <c r="D33" s="551"/>
      <c r="E33" s="1004"/>
      <c r="F33" s="975"/>
    </row>
    <row r="34" spans="2:6">
      <c r="B34" s="346" t="s">
        <v>955</v>
      </c>
      <c r="C34" s="347">
        <f>C5</f>
        <v>0</v>
      </c>
      <c r="D34" s="551"/>
      <c r="E34" s="1004"/>
      <c r="F34" s="975"/>
    </row>
    <row r="35" spans="2:6" ht="12.75">
      <c r="B35" s="990" t="s">
        <v>145</v>
      </c>
      <c r="C35" s="347">
        <f>C12</f>
        <v>0</v>
      </c>
      <c r="D35" s="551"/>
      <c r="E35" s="1004"/>
      <c r="F35" s="975"/>
    </row>
    <row r="36" spans="2:6">
      <c r="B36" s="341" t="s">
        <v>967</v>
      </c>
      <c r="C36" s="342">
        <f>(C8+C9)*C4</f>
        <v>2</v>
      </c>
      <c r="D36" s="551"/>
      <c r="E36" s="1004">
        <f t="shared" si="0"/>
        <v>0</v>
      </c>
      <c r="F36" s="975"/>
    </row>
    <row r="37" spans="2:6">
      <c r="B37" s="341" t="s">
        <v>968</v>
      </c>
      <c r="C37" s="342">
        <f>(C8+C9)*C4</f>
        <v>2</v>
      </c>
      <c r="D37" s="551"/>
      <c r="E37" s="1004">
        <f t="shared" si="0"/>
        <v>0</v>
      </c>
      <c r="F37" s="975"/>
    </row>
    <row r="38" spans="2:6">
      <c r="B38" s="341" t="s">
        <v>975</v>
      </c>
      <c r="C38" s="342">
        <f>C8*2</f>
        <v>2</v>
      </c>
      <c r="D38" s="551"/>
      <c r="E38" s="1004">
        <f t="shared" si="0"/>
        <v>0</v>
      </c>
      <c r="F38" s="975"/>
    </row>
    <row r="39" spans="2:6">
      <c r="B39" s="346" t="s">
        <v>893</v>
      </c>
      <c r="C39" s="347">
        <f>(C8+C9)*2</f>
        <v>2</v>
      </c>
      <c r="D39" s="551"/>
      <c r="E39" s="1004">
        <f t="shared" si="0"/>
        <v>0</v>
      </c>
      <c r="F39" s="975"/>
    </row>
    <row r="40" spans="2:6">
      <c r="B40" s="346" t="s">
        <v>789</v>
      </c>
      <c r="C40" s="347">
        <f>(C8+C9)*8</f>
        <v>8</v>
      </c>
      <c r="D40" s="551"/>
      <c r="E40" s="1004">
        <f t="shared" si="0"/>
        <v>0</v>
      </c>
      <c r="F40" s="975"/>
    </row>
    <row r="41" spans="2:6">
      <c r="B41" s="346" t="s">
        <v>401</v>
      </c>
      <c r="C41" s="347">
        <f>(C8+C9)*(C4+C6)</f>
        <v>6</v>
      </c>
      <c r="D41" s="551"/>
      <c r="E41" s="1004">
        <f t="shared" si="0"/>
        <v>0</v>
      </c>
      <c r="F41" s="975"/>
    </row>
    <row r="42" spans="2:6">
      <c r="B42" s="346" t="s">
        <v>402</v>
      </c>
      <c r="C42" s="347">
        <f>C14*(C4+C6)*(C8+C9)</f>
        <v>0</v>
      </c>
      <c r="D42" s="551"/>
      <c r="E42" s="1004">
        <f t="shared" si="0"/>
        <v>0</v>
      </c>
      <c r="F42" s="975"/>
    </row>
    <row r="43" spans="2:6" ht="12" thickBot="1">
      <c r="B43" s="979" t="s">
        <v>952</v>
      </c>
      <c r="C43" s="402">
        <f>C5</f>
        <v>0</v>
      </c>
      <c r="D43" s="590"/>
      <c r="E43" s="1005">
        <f t="shared" si="0"/>
        <v>0</v>
      </c>
      <c r="F43" s="975"/>
    </row>
    <row r="44" spans="2:6" ht="13.5" thickBot="1">
      <c r="B44" s="316"/>
      <c r="C44" s="316"/>
      <c r="D44" s="384" t="s">
        <v>9</v>
      </c>
      <c r="E44" s="981">
        <f>SUMIF(E17:E43,"&gt;0",E17:E43)</f>
        <v>0</v>
      </c>
      <c r="F44" s="975"/>
    </row>
    <row r="45" spans="2:6">
      <c r="F45" s="975"/>
    </row>
    <row r="46" spans="2:6">
      <c r="F46" s="975"/>
    </row>
    <row r="47" spans="2:6" ht="15.75" thickBot="1">
      <c r="B47" s="986" t="s">
        <v>957</v>
      </c>
      <c r="F47" s="975"/>
    </row>
    <row r="48" spans="2:6" ht="12.75">
      <c r="B48" s="571" t="s">
        <v>489</v>
      </c>
      <c r="C48" s="997">
        <f>IF(C11=1,C8+C9,0)</f>
        <v>0</v>
      </c>
      <c r="D48" s="982"/>
      <c r="E48" s="574">
        <f t="shared" ref="E48:E53" si="1">C48*D48</f>
        <v>0</v>
      </c>
      <c r="F48" s="975"/>
    </row>
    <row r="49" spans="2:6" ht="12.75">
      <c r="B49" s="418" t="s">
        <v>486</v>
      </c>
      <c r="C49" s="998">
        <f>IF(C11=6,C8+C9,0)</f>
        <v>0</v>
      </c>
      <c r="D49" s="611"/>
      <c r="E49" s="323">
        <f t="shared" si="1"/>
        <v>0</v>
      </c>
      <c r="F49" s="975"/>
    </row>
    <row r="50" spans="2:6" ht="12.75">
      <c r="B50" s="418" t="s">
        <v>591</v>
      </c>
      <c r="C50" s="998">
        <f>IF(C11=5,C8+C9,0)</f>
        <v>0</v>
      </c>
      <c r="D50" s="611"/>
      <c r="E50" s="323">
        <f t="shared" si="1"/>
        <v>0</v>
      </c>
      <c r="F50" s="975"/>
    </row>
    <row r="51" spans="2:6" ht="12.75">
      <c r="B51" s="418" t="s">
        <v>487</v>
      </c>
      <c r="C51" s="998">
        <f>IF(C11=2,C8+C9,0)</f>
        <v>0</v>
      </c>
      <c r="D51" s="611"/>
      <c r="E51" s="323">
        <f t="shared" si="1"/>
        <v>0</v>
      </c>
    </row>
    <row r="52" spans="2:6" ht="12.75">
      <c r="B52" s="418" t="s">
        <v>488</v>
      </c>
      <c r="C52" s="998">
        <f>IF(C11=3,C8+C9,0)</f>
        <v>0</v>
      </c>
      <c r="D52" s="611"/>
      <c r="E52" s="323">
        <f t="shared" si="1"/>
        <v>0</v>
      </c>
    </row>
    <row r="53" spans="2:6" ht="13.5" thickBot="1">
      <c r="B53" s="983" t="s">
        <v>494</v>
      </c>
      <c r="C53" s="999">
        <f>IF(C11=4,C8+C9,0)</f>
        <v>1</v>
      </c>
      <c r="D53" s="984"/>
      <c r="E53" s="333">
        <f t="shared" si="1"/>
        <v>0</v>
      </c>
    </row>
    <row r="54" spans="2:6" ht="13.5" thickBot="1">
      <c r="D54" s="985" t="s">
        <v>9</v>
      </c>
      <c r="E54" s="991">
        <f>SUMIF(E48:E53,"&gt;0",E48:E53)</f>
        <v>0</v>
      </c>
    </row>
  </sheetData>
  <sheetProtection algorithmName="SHA-512" hashValue="DP08oWgfGdnxCXwc4DbaYPb2cA/tiUAFWEnNWx3YvAdsOD+2ixIRNVEytJ2k7fYoTFtNjTHWhA+NHNqdrynJyg==" saltValue="RYqmr2Z5o7epkzHifBU/Hw==" spinCount="100000" sheet="1" objects="1" scenarios="1"/>
  <mergeCells count="7">
    <mergeCell ref="B3:E3"/>
    <mergeCell ref="D4:F7"/>
    <mergeCell ref="D8:F9"/>
    <mergeCell ref="F13:F14"/>
    <mergeCell ref="B15:E15"/>
    <mergeCell ref="D11:F11"/>
    <mergeCell ref="D12:E12"/>
  </mergeCells>
  <conditionalFormatting sqref="D43:E43 C17:E30 C36:E42 D31:E35">
    <cfRule type="cellIs" dxfId="135" priority="24" operator="greaterThan">
      <formula>0</formula>
    </cfRule>
  </conditionalFormatting>
  <conditionalFormatting sqref="E44">
    <cfRule type="cellIs" dxfId="134" priority="25" operator="greaterThan">
      <formula>0</formula>
    </cfRule>
  </conditionalFormatting>
  <conditionalFormatting sqref="C43">
    <cfRule type="cellIs" dxfId="133" priority="23" operator="greaterThan">
      <formula>0</formula>
    </cfRule>
  </conditionalFormatting>
  <conditionalFormatting sqref="C31:C35">
    <cfRule type="cellIs" dxfId="132" priority="22" operator="greaterThan">
      <formula>0</formula>
    </cfRule>
  </conditionalFormatting>
  <conditionalFormatting sqref="D48:D53">
    <cfRule type="cellIs" dxfId="131" priority="13" operator="greaterThan">
      <formula>0</formula>
    </cfRule>
    <cfRule type="cellIs" dxfId="130" priority="14" operator="greaterThan">
      <formula>0</formula>
    </cfRule>
  </conditionalFormatting>
  <conditionalFormatting sqref="C48:C49 C51:C53">
    <cfRule type="cellIs" dxfId="129" priority="19" operator="equal">
      <formula>"ДА"</formula>
    </cfRule>
    <cfRule type="cellIs" dxfId="128" priority="20" operator="equal">
      <formula>"НЕТ"</formula>
    </cfRule>
  </conditionalFormatting>
  <conditionalFormatting sqref="C48:C49 C51:C53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0">
    <cfRule type="cellIs" dxfId="127" priority="16" operator="equal">
      <formula>"ДА"</formula>
    </cfRule>
    <cfRule type="cellIs" dxfId="126" priority="17" operator="equal">
      <formula>"НЕТ"</formula>
    </cfRule>
  </conditionalFormatting>
  <conditionalFormatting sqref="C50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48:E53">
    <cfRule type="cellIs" dxfId="125" priority="15" operator="greaterThan">
      <formula>0</formula>
    </cfRule>
  </conditionalFormatting>
  <conditionalFormatting sqref="C48:C53">
    <cfRule type="cellIs" dxfId="124" priority="11" operator="equal">
      <formula>"НЕТ"</formula>
    </cfRule>
    <cfRule type="cellIs" dxfId="123" priority="12" operator="equal">
      <formula>"ДА"</formula>
    </cfRule>
  </conditionalFormatting>
  <conditionalFormatting sqref="C48:C53">
    <cfRule type="cellIs" dxfId="122" priority="10" operator="equal">
      <formula>"ДА"</formula>
    </cfRule>
  </conditionalFormatting>
  <conditionalFormatting sqref="C50">
    <cfRule type="cellIs" dxfId="121" priority="7" operator="equal">
      <formula>"ДА"</formula>
    </cfRule>
    <cfRule type="cellIs" dxfId="120" priority="8" operator="equal">
      <formula>"НЕТ"</formula>
    </cfRule>
  </conditionalFormatting>
  <conditionalFormatting sqref="C50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48:E53">
    <cfRule type="cellIs" dxfId="119" priority="1" operator="greaterThan">
      <formula>0</formula>
    </cfRule>
    <cfRule type="cellIs" dxfId="118" priority="2" operator="greaterThan">
      <formula>0</formula>
    </cfRule>
    <cfRule type="cellIs" dxfId="117" priority="6" operator="greaterThan">
      <formula>0</formula>
    </cfRule>
  </conditionalFormatting>
  <conditionalFormatting sqref="C50">
    <cfRule type="cellIs" dxfId="116" priority="3" operator="equal">
      <formula>"ДА"</formula>
    </cfRule>
    <cfRule type="cellIs" dxfId="115" priority="4" operator="equal">
      <formula>"НЕТ"</formula>
    </cfRule>
  </conditionalFormatting>
  <conditionalFormatting sqref="C50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1050" t="s">
        <v>576</v>
      </c>
      <c r="B1" s="1051"/>
      <c r="C1" s="1051"/>
      <c r="D1" s="1051"/>
      <c r="E1" s="286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1052" t="s">
        <v>122</v>
      </c>
      <c r="I2" s="1053"/>
      <c r="J2" s="1053"/>
      <c r="K2" s="1053"/>
      <c r="L2" s="1053"/>
      <c r="M2" s="1054"/>
    </row>
    <row r="3" spans="1:13" ht="12" thickBot="1">
      <c r="A3" s="9" t="s">
        <v>10</v>
      </c>
      <c r="B3" s="864">
        <v>1.4</v>
      </c>
      <c r="C3" s="13"/>
      <c r="D3" s="13"/>
      <c r="E3" s="13"/>
      <c r="F3" s="14"/>
      <c r="H3" s="1055"/>
      <c r="I3" s="1056"/>
      <c r="J3" s="1056"/>
      <c r="K3" s="1056"/>
      <c r="L3" s="1056"/>
      <c r="M3" s="1057"/>
    </row>
    <row r="4" spans="1:13">
      <c r="A4" s="9" t="s">
        <v>1</v>
      </c>
      <c r="B4" s="864">
        <v>1</v>
      </c>
      <c r="C4" s="13"/>
      <c r="D4" s="13"/>
      <c r="E4" s="13"/>
      <c r="F4" s="14"/>
    </row>
    <row r="5" spans="1:13">
      <c r="A5" s="9" t="s">
        <v>2</v>
      </c>
      <c r="B5" s="864">
        <v>1</v>
      </c>
      <c r="C5" s="13"/>
      <c r="D5" s="13"/>
      <c r="E5" s="13"/>
      <c r="F5" s="14"/>
    </row>
    <row r="6" spans="1:13">
      <c r="A6" s="9" t="s">
        <v>130</v>
      </c>
      <c r="B6" s="864">
        <v>10</v>
      </c>
      <c r="C6" s="13"/>
      <c r="D6" s="13"/>
      <c r="E6" s="13"/>
      <c r="F6" s="14"/>
    </row>
    <row r="7" spans="1:13">
      <c r="A7" s="9" t="s">
        <v>568</v>
      </c>
      <c r="B7" s="864">
        <v>2</v>
      </c>
      <c r="C7" s="13"/>
      <c r="D7" s="13"/>
      <c r="E7" s="13"/>
      <c r="F7" s="14"/>
    </row>
    <row r="8" spans="1:13">
      <c r="A8" s="9" t="s">
        <v>571</v>
      </c>
      <c r="B8" s="864">
        <v>2</v>
      </c>
      <c r="C8" s="13"/>
      <c r="D8" s="13"/>
      <c r="E8" s="13"/>
      <c r="F8" s="14"/>
    </row>
    <row r="9" spans="1:13" ht="12" thickBot="1">
      <c r="A9" s="10" t="s">
        <v>572</v>
      </c>
      <c r="B9" s="865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0">
        <v>9</v>
      </c>
      <c r="D13" s="121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0"/>
      <c r="D14" s="121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0"/>
      <c r="D15" s="121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0"/>
      <c r="D16" s="121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0"/>
      <c r="D17" s="121">
        <f>B5</f>
        <v>1</v>
      </c>
      <c r="E17" s="26"/>
      <c r="F17" s="14"/>
    </row>
    <row r="18" spans="1:6">
      <c r="A18" s="23" t="s">
        <v>575</v>
      </c>
      <c r="B18" s="24"/>
      <c r="C18" s="740"/>
      <c r="D18" s="121">
        <f>D16</f>
        <v>1.39</v>
      </c>
      <c r="E18" s="26"/>
      <c r="F18" s="14"/>
    </row>
    <row r="19" spans="1:6">
      <c r="A19" s="23" t="s">
        <v>115</v>
      </c>
      <c r="B19" s="28"/>
      <c r="C19" s="742"/>
      <c r="D19" s="121">
        <f>B5*2</f>
        <v>2</v>
      </c>
      <c r="E19" s="26">
        <f t="shared" si="0"/>
        <v>0</v>
      </c>
      <c r="F19" s="14"/>
    </row>
    <row r="20" spans="1:6">
      <c r="A20" s="103" t="s">
        <v>103</v>
      </c>
      <c r="B20" s="28"/>
      <c r="C20" s="742"/>
      <c r="D20" s="121">
        <f>D15</f>
        <v>1.3859999999999999</v>
      </c>
      <c r="E20" s="26"/>
      <c r="F20" s="14"/>
    </row>
    <row r="21" spans="1:6">
      <c r="A21" s="23" t="s">
        <v>27</v>
      </c>
      <c r="B21" s="24"/>
      <c r="C21" s="740"/>
      <c r="D21" s="121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0"/>
      <c r="D22" s="121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45"/>
      <c r="D23" s="121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45"/>
      <c r="D24" s="121">
        <f>B3*B5</f>
        <v>1.4</v>
      </c>
      <c r="E24" s="26">
        <f t="shared" si="0"/>
        <v>0</v>
      </c>
      <c r="F24" s="14"/>
    </row>
    <row r="25" spans="1:6">
      <c r="A25" s="23" t="s">
        <v>566</v>
      </c>
      <c r="B25" s="24"/>
      <c r="C25" s="740"/>
      <c r="D25" s="121">
        <f>B5</f>
        <v>1</v>
      </c>
      <c r="E25" s="26">
        <f>C25*D25</f>
        <v>0</v>
      </c>
      <c r="F25" s="14"/>
    </row>
    <row r="26" spans="1:6">
      <c r="A26" s="23" t="s">
        <v>570</v>
      </c>
      <c r="B26" s="24"/>
      <c r="C26" s="745"/>
      <c r="D26" s="121">
        <f>B8</f>
        <v>2</v>
      </c>
      <c r="E26" s="26">
        <f>D26*C26</f>
        <v>0</v>
      </c>
      <c r="F26" s="14"/>
    </row>
    <row r="27" spans="1:6">
      <c r="A27" s="23" t="s">
        <v>569</v>
      </c>
      <c r="B27" s="24"/>
      <c r="C27" s="745"/>
      <c r="D27" s="121">
        <f>B6</f>
        <v>10</v>
      </c>
      <c r="E27" s="26">
        <f>D27*C27</f>
        <v>0</v>
      </c>
      <c r="F27" s="14"/>
    </row>
    <row r="28" spans="1:6">
      <c r="A28" s="24" t="s">
        <v>567</v>
      </c>
      <c r="B28" s="287"/>
      <c r="C28" s="835"/>
      <c r="D28" s="287">
        <f>B7</f>
        <v>2</v>
      </c>
      <c r="E28" s="26">
        <f>D28*C28</f>
        <v>0</v>
      </c>
      <c r="F28" s="14"/>
    </row>
    <row r="29" spans="1:6">
      <c r="A29" s="16"/>
      <c r="B29" s="13"/>
      <c r="C29" s="861"/>
      <c r="D29" s="13"/>
      <c r="E29" s="35">
        <f>SUM(E13:E27)</f>
        <v>36</v>
      </c>
      <c r="F29" s="14"/>
    </row>
    <row r="30" spans="1:6">
      <c r="A30" s="16"/>
      <c r="B30" s="13"/>
      <c r="C30" s="861"/>
      <c r="D30" s="13"/>
      <c r="E30" s="13"/>
      <c r="F30" s="14"/>
    </row>
    <row r="31" spans="1:6" ht="12" thickBot="1">
      <c r="A31" s="18" t="s">
        <v>22</v>
      </c>
      <c r="B31" s="19"/>
      <c r="C31" s="862"/>
      <c r="D31" s="19"/>
      <c r="E31" s="13"/>
      <c r="F31" s="14"/>
    </row>
    <row r="32" spans="1:6">
      <c r="A32" s="36" t="s">
        <v>35</v>
      </c>
      <c r="B32" s="21"/>
      <c r="C32" s="863"/>
      <c r="D32" s="21"/>
      <c r="E32" s="12"/>
      <c r="F32" s="14"/>
    </row>
    <row r="33" spans="1:6" ht="12" thickBot="1">
      <c r="A33" s="30" t="s">
        <v>25</v>
      </c>
      <c r="B33" s="31"/>
      <c r="C33" s="752"/>
      <c r="D33" s="33">
        <f>(B4-0.07)*2*B5</f>
        <v>1.8599999999999999</v>
      </c>
      <c r="E33" s="34">
        <f>D33*C33</f>
        <v>0</v>
      </c>
      <c r="F33" s="14"/>
    </row>
    <row r="34" spans="1:6">
      <c r="A34" s="1058" t="s">
        <v>26</v>
      </c>
      <c r="B34" s="1059"/>
      <c r="C34" s="1059"/>
      <c r="D34" s="1060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6"/>
  <sheetViews>
    <sheetView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H32" sqref="H32"/>
    </sheetView>
  </sheetViews>
  <sheetFormatPr defaultRowHeight="11.25"/>
  <cols>
    <col min="2" max="2" width="51.33203125" customWidth="1"/>
    <col min="3" max="3" width="13.33203125" customWidth="1"/>
    <col min="4" max="4" width="13.5" customWidth="1"/>
    <col min="5" max="5" width="13" customWidth="1"/>
    <col min="6" max="6" width="29" customWidth="1"/>
  </cols>
  <sheetData>
    <row r="3" spans="2:6" ht="27" thickBot="1">
      <c r="B3" s="1161"/>
      <c r="C3" s="1162"/>
      <c r="D3" s="1162"/>
      <c r="E3" s="1162"/>
      <c r="F3" s="944"/>
    </row>
    <row r="4" spans="2:6">
      <c r="B4" s="960" t="s">
        <v>976</v>
      </c>
      <c r="C4" s="961">
        <v>5</v>
      </c>
      <c r="D4" s="1314" t="s">
        <v>595</v>
      </c>
      <c r="E4" s="1314"/>
      <c r="F4" s="1315"/>
    </row>
    <row r="5" spans="2:6" ht="12" thickBot="1">
      <c r="B5" s="962" t="s">
        <v>1</v>
      </c>
      <c r="C5" s="963">
        <v>0</v>
      </c>
      <c r="D5" s="1316"/>
      <c r="E5" s="1316"/>
      <c r="F5" s="1317"/>
    </row>
    <row r="6" spans="2:6" ht="12" thickBot="1">
      <c r="B6" s="1007" t="s">
        <v>977</v>
      </c>
      <c r="C6" s="964">
        <v>2</v>
      </c>
      <c r="D6" s="1318" t="s">
        <v>978</v>
      </c>
      <c r="E6" s="1318"/>
      <c r="F6" s="1319"/>
    </row>
    <row r="7" spans="2:6" ht="12" thickBot="1">
      <c r="B7" s="1007" t="s">
        <v>510</v>
      </c>
      <c r="C7" s="965">
        <v>0</v>
      </c>
      <c r="D7" s="1320"/>
      <c r="E7" s="1320"/>
      <c r="F7" s="1321"/>
    </row>
    <row r="8" spans="2:6" ht="12" thickBot="1">
      <c r="B8" s="1008" t="s">
        <v>979</v>
      </c>
      <c r="C8" s="1009">
        <v>1</v>
      </c>
      <c r="D8" s="1332" t="s">
        <v>980</v>
      </c>
      <c r="E8" s="1333"/>
      <c r="F8" s="1334"/>
    </row>
    <row r="9" spans="2:6" ht="12" thickBot="1">
      <c r="B9" s="1000" t="s">
        <v>959</v>
      </c>
      <c r="C9" s="964">
        <v>1</v>
      </c>
      <c r="D9" s="510" t="s">
        <v>960</v>
      </c>
      <c r="E9" s="364" t="s">
        <v>961</v>
      </c>
      <c r="F9" s="1001"/>
    </row>
    <row r="10" spans="2:6" ht="23.25" customHeight="1">
      <c r="B10" s="813" t="s">
        <v>589</v>
      </c>
      <c r="C10" s="830">
        <v>4</v>
      </c>
      <c r="D10" s="1324" t="s">
        <v>958</v>
      </c>
      <c r="E10" s="1325"/>
      <c r="F10" s="1326"/>
    </row>
    <row r="11" spans="2:6" ht="10.5" customHeight="1" thickBot="1">
      <c r="B11" s="814" t="s">
        <v>277</v>
      </c>
      <c r="C11" s="829">
        <v>0</v>
      </c>
      <c r="D11" s="1152" t="s">
        <v>30</v>
      </c>
      <c r="E11" s="1153"/>
      <c r="F11" s="967"/>
    </row>
    <row r="12" spans="2:6">
      <c r="B12" s="960" t="s">
        <v>397</v>
      </c>
      <c r="C12" s="964">
        <v>0</v>
      </c>
      <c r="D12" s="510" t="s">
        <v>287</v>
      </c>
      <c r="E12" s="364" t="s">
        <v>255</v>
      </c>
      <c r="F12" s="1327" t="s">
        <v>597</v>
      </c>
    </row>
    <row r="13" spans="2:6" ht="12" thickBot="1">
      <c r="B13" s="962" t="s">
        <v>398</v>
      </c>
      <c r="C13" s="965">
        <v>0</v>
      </c>
      <c r="D13" s="966" t="s">
        <v>287</v>
      </c>
      <c r="E13" s="1002" t="s">
        <v>255</v>
      </c>
      <c r="F13" s="1328"/>
    </row>
    <row r="14" spans="2:6" ht="12" thickBot="1">
      <c r="B14" s="1256"/>
      <c r="C14" s="1256"/>
      <c r="D14" s="1256"/>
      <c r="E14" s="1256"/>
      <c r="F14" s="945"/>
    </row>
    <row r="15" spans="2:6" ht="13.5" thickBot="1">
      <c r="B15" s="968" t="s">
        <v>5</v>
      </c>
      <c r="C15" s="969" t="s">
        <v>0</v>
      </c>
      <c r="D15" s="970" t="s">
        <v>4</v>
      </c>
      <c r="E15" s="971" t="s">
        <v>8</v>
      </c>
      <c r="F15" s="972"/>
    </row>
    <row r="16" spans="2:6">
      <c r="B16" s="973" t="s">
        <v>399</v>
      </c>
      <c r="C16" s="1006">
        <f>C12*2*(C6+C7)*C8</f>
        <v>0</v>
      </c>
      <c r="D16" s="458"/>
      <c r="E16" s="1003">
        <f t="shared" ref="E16:E45" si="0">D16*C16</f>
        <v>0</v>
      </c>
      <c r="F16" s="975"/>
    </row>
    <row r="17" spans="2:6">
      <c r="B17" s="341" t="s">
        <v>400</v>
      </c>
      <c r="C17" s="342">
        <f>C13*(C6+C7)*C8</f>
        <v>0</v>
      </c>
      <c r="D17" s="551"/>
      <c r="E17" s="1004">
        <f t="shared" si="0"/>
        <v>0</v>
      </c>
      <c r="F17" s="975"/>
    </row>
    <row r="18" spans="2:6">
      <c r="B18" s="346" t="s">
        <v>962</v>
      </c>
      <c r="C18" s="977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9</v>
      </c>
      <c r="D18" s="551"/>
      <c r="E18" s="1004">
        <f t="shared" si="0"/>
        <v>0</v>
      </c>
      <c r="F18" s="975"/>
    </row>
    <row r="19" spans="2:6">
      <c r="B19" s="346" t="s">
        <v>963</v>
      </c>
      <c r="C19" s="977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9</v>
      </c>
      <c r="D19" s="551"/>
      <c r="E19" s="1004">
        <f t="shared" si="0"/>
        <v>0</v>
      </c>
      <c r="F19" s="975"/>
    </row>
    <row r="20" spans="2:6">
      <c r="B20" s="346" t="s">
        <v>964</v>
      </c>
      <c r="C20" s="347">
        <f>IF(C4&gt;0,(C8),0)</f>
        <v>1</v>
      </c>
      <c r="D20" s="551"/>
      <c r="E20" s="1004">
        <f t="shared" si="0"/>
        <v>0</v>
      </c>
      <c r="F20" s="975"/>
    </row>
    <row r="21" spans="2:6">
      <c r="B21" s="346" t="s">
        <v>965</v>
      </c>
      <c r="C21" s="347">
        <f>IF(C4&gt;0,(C8),0)</f>
        <v>1</v>
      </c>
      <c r="D21" s="551"/>
      <c r="E21" s="1004">
        <f t="shared" si="0"/>
        <v>0</v>
      </c>
      <c r="F21" s="975"/>
    </row>
    <row r="22" spans="2:6">
      <c r="B22" s="346" t="s">
        <v>981</v>
      </c>
      <c r="C22" s="347">
        <f>(C6-1)*C8*2</f>
        <v>2</v>
      </c>
      <c r="D22" s="551"/>
      <c r="E22" s="1004">
        <f t="shared" si="0"/>
        <v>0</v>
      </c>
      <c r="F22" s="975"/>
    </row>
    <row r="23" spans="2:6">
      <c r="B23" s="346" t="s">
        <v>982</v>
      </c>
      <c r="C23" s="347">
        <f>(C7-1)*C8*2</f>
        <v>-2</v>
      </c>
      <c r="D23" s="551"/>
      <c r="E23" s="1004">
        <f t="shared" si="0"/>
        <v>0</v>
      </c>
      <c r="F23" s="975"/>
    </row>
    <row r="24" spans="2:6">
      <c r="B24" s="346" t="s">
        <v>972</v>
      </c>
      <c r="C24" s="347">
        <f>(C6+C7-1)*C8</f>
        <v>1</v>
      </c>
      <c r="D24" s="551"/>
      <c r="E24" s="1004">
        <f t="shared" si="0"/>
        <v>0</v>
      </c>
      <c r="F24" s="975"/>
    </row>
    <row r="25" spans="2:6">
      <c r="B25" s="346" t="s">
        <v>983</v>
      </c>
      <c r="C25" s="347">
        <f>(C6+C7-1)*C8</f>
        <v>1</v>
      </c>
      <c r="D25" s="551"/>
      <c r="E25" s="1004">
        <f t="shared" si="0"/>
        <v>0</v>
      </c>
      <c r="F25" s="975"/>
    </row>
    <row r="26" spans="2:6">
      <c r="B26" s="341" t="s">
        <v>966</v>
      </c>
      <c r="C26" s="350">
        <f>C8</f>
        <v>1</v>
      </c>
      <c r="D26" s="551"/>
      <c r="E26" s="1004">
        <f t="shared" si="0"/>
        <v>0</v>
      </c>
      <c r="F26" s="975"/>
    </row>
    <row r="27" spans="2:6">
      <c r="B27" s="346" t="s">
        <v>119</v>
      </c>
      <c r="C27" s="342">
        <f>IF(C7&gt;0,C4*C8,0)</f>
        <v>0</v>
      </c>
      <c r="D27" s="551"/>
      <c r="E27" s="1004">
        <f t="shared" si="0"/>
        <v>0</v>
      </c>
      <c r="F27" s="975"/>
    </row>
    <row r="28" spans="2:6">
      <c r="B28" s="346" t="s">
        <v>945</v>
      </c>
      <c r="C28" s="342">
        <f>C4*C8</f>
        <v>5</v>
      </c>
      <c r="D28" s="551"/>
      <c r="E28" s="1004">
        <f t="shared" si="0"/>
        <v>0</v>
      </c>
      <c r="F28" s="975"/>
    </row>
    <row r="29" spans="2:6">
      <c r="B29" s="341" t="s">
        <v>946</v>
      </c>
      <c r="C29" s="342">
        <f>IF(C6&gt;0,C4*C8,0)</f>
        <v>5</v>
      </c>
      <c r="D29" s="551"/>
      <c r="E29" s="1004">
        <f t="shared" si="0"/>
        <v>0</v>
      </c>
      <c r="F29" s="975"/>
    </row>
    <row r="30" spans="2:6">
      <c r="B30" s="341" t="s">
        <v>947</v>
      </c>
      <c r="C30" s="347">
        <f>IF(C6&gt;0,C4*C8,0)</f>
        <v>5</v>
      </c>
      <c r="D30" s="551"/>
      <c r="E30" s="1004">
        <f t="shared" si="0"/>
        <v>0</v>
      </c>
      <c r="F30" s="975"/>
    </row>
    <row r="31" spans="2:6">
      <c r="B31" s="341" t="s">
        <v>948</v>
      </c>
      <c r="C31" s="342">
        <f>IF(C7&gt;0,C4*C8,0)</f>
        <v>0</v>
      </c>
      <c r="D31" s="551"/>
      <c r="E31" s="1004">
        <f t="shared" si="0"/>
        <v>0</v>
      </c>
      <c r="F31" s="975"/>
    </row>
    <row r="32" spans="2:6">
      <c r="B32" s="346" t="s">
        <v>953</v>
      </c>
      <c r="C32" s="347">
        <f>IF(C7&gt;0,C8,0)</f>
        <v>0</v>
      </c>
      <c r="D32" s="551"/>
      <c r="E32" s="1004"/>
      <c r="F32" s="975"/>
    </row>
    <row r="33" spans="2:6">
      <c r="B33" s="346" t="s">
        <v>954</v>
      </c>
      <c r="C33" s="347">
        <f>IF(C6&gt;0,C8,0)</f>
        <v>1</v>
      </c>
      <c r="D33" s="551"/>
      <c r="E33" s="1004"/>
      <c r="F33" s="975"/>
    </row>
    <row r="34" spans="2:6">
      <c r="B34" s="346" t="s">
        <v>956</v>
      </c>
      <c r="C34" s="347">
        <f>C8</f>
        <v>1</v>
      </c>
      <c r="D34" s="551"/>
      <c r="E34" s="1004"/>
      <c r="F34" s="975"/>
    </row>
    <row r="35" spans="2:6">
      <c r="B35" s="346" t="s">
        <v>955</v>
      </c>
      <c r="C35" s="347">
        <f>IF(C7&gt;0,C8,0)</f>
        <v>0</v>
      </c>
      <c r="D35" s="551"/>
      <c r="E35" s="1004"/>
      <c r="F35" s="975"/>
    </row>
    <row r="36" spans="2:6" ht="12.75">
      <c r="B36" s="990" t="s">
        <v>145</v>
      </c>
      <c r="C36" s="347">
        <f>C11</f>
        <v>0</v>
      </c>
      <c r="D36" s="551"/>
      <c r="E36" s="1004"/>
    </row>
    <row r="37" spans="2:6">
      <c r="B37" s="341" t="s">
        <v>967</v>
      </c>
      <c r="C37" s="342">
        <f>C8*C4</f>
        <v>5</v>
      </c>
      <c r="D37" s="551"/>
      <c r="E37" s="1004">
        <f t="shared" si="0"/>
        <v>0</v>
      </c>
    </row>
    <row r="38" spans="2:6">
      <c r="B38" s="341" t="s">
        <v>968</v>
      </c>
      <c r="C38" s="342">
        <f>C8*C4</f>
        <v>5</v>
      </c>
      <c r="D38" s="551"/>
      <c r="E38" s="1004">
        <f t="shared" si="0"/>
        <v>0</v>
      </c>
    </row>
    <row r="39" spans="2:6">
      <c r="B39" s="341" t="s">
        <v>950</v>
      </c>
      <c r="C39" s="342">
        <f>IF(C6&gt;0,C4*C8,0)</f>
        <v>5</v>
      </c>
      <c r="D39" s="551"/>
      <c r="E39" s="1004">
        <f t="shared" si="0"/>
        <v>0</v>
      </c>
    </row>
    <row r="40" spans="2:6">
      <c r="B40" s="346" t="s">
        <v>951</v>
      </c>
      <c r="C40" s="347">
        <f>IF(C7&gt;0,C4*C8,0)</f>
        <v>0</v>
      </c>
      <c r="D40" s="551"/>
      <c r="E40" s="1004">
        <f t="shared" si="0"/>
        <v>0</v>
      </c>
    </row>
    <row r="41" spans="2:6">
      <c r="B41" s="346" t="s">
        <v>893</v>
      </c>
      <c r="C41" s="347">
        <f>(C6+C7-1)*2*C8</f>
        <v>2</v>
      </c>
      <c r="D41" s="551"/>
      <c r="E41" s="1004">
        <f t="shared" si="0"/>
        <v>0</v>
      </c>
    </row>
    <row r="42" spans="2:6">
      <c r="B42" s="346" t="s">
        <v>789</v>
      </c>
      <c r="C42" s="347">
        <f>C8*8</f>
        <v>8</v>
      </c>
      <c r="D42" s="551"/>
      <c r="E42" s="1004">
        <f t="shared" si="0"/>
        <v>0</v>
      </c>
    </row>
    <row r="43" spans="2:6">
      <c r="B43" s="346" t="s">
        <v>401</v>
      </c>
      <c r="C43" s="347">
        <f>C8*C4</f>
        <v>5</v>
      </c>
      <c r="D43" s="551"/>
      <c r="E43" s="1004">
        <f t="shared" si="0"/>
        <v>0</v>
      </c>
    </row>
    <row r="44" spans="2:6">
      <c r="B44" s="346" t="s">
        <v>402</v>
      </c>
      <c r="C44" s="347">
        <f>C13*C4*C8</f>
        <v>0</v>
      </c>
      <c r="D44" s="551"/>
      <c r="E44" s="1004">
        <f t="shared" si="0"/>
        <v>0</v>
      </c>
    </row>
    <row r="45" spans="2:6" ht="12" thickBot="1">
      <c r="B45" s="979" t="s">
        <v>952</v>
      </c>
      <c r="C45" s="402">
        <f>IF(C6&gt;0,C8,0)</f>
        <v>1</v>
      </c>
      <c r="D45" s="590"/>
      <c r="E45" s="1005">
        <f t="shared" si="0"/>
        <v>0</v>
      </c>
    </row>
    <row r="46" spans="2:6" ht="13.5" thickBot="1">
      <c r="B46" s="316"/>
      <c r="C46" s="316"/>
      <c r="D46" s="384" t="s">
        <v>9</v>
      </c>
      <c r="E46" s="981">
        <f>SUMIF(E16:E45,"&gt;0",E16:E45)</f>
        <v>0</v>
      </c>
    </row>
    <row r="49" spans="2:5" ht="15.75" thickBot="1">
      <c r="B49" s="986" t="s">
        <v>957</v>
      </c>
    </row>
    <row r="50" spans="2:5" ht="12.75">
      <c r="B50" s="571" t="s">
        <v>489</v>
      </c>
      <c r="C50" s="997">
        <f>IF(C10=1,C8,0)</f>
        <v>0</v>
      </c>
      <c r="D50" s="982"/>
      <c r="E50" s="574">
        <f t="shared" ref="E50:E55" si="1">C50*D50</f>
        <v>0</v>
      </c>
    </row>
    <row r="51" spans="2:5" ht="12.75">
      <c r="B51" s="418" t="s">
        <v>486</v>
      </c>
      <c r="C51" s="998">
        <f>IF(C10=6,C8,0)</f>
        <v>0</v>
      </c>
      <c r="D51" s="611"/>
      <c r="E51" s="323">
        <f t="shared" si="1"/>
        <v>0</v>
      </c>
    </row>
    <row r="52" spans="2:5" ht="12.75">
      <c r="B52" s="418" t="s">
        <v>591</v>
      </c>
      <c r="C52" s="998">
        <f>IF(C10=5,C8,0)</f>
        <v>0</v>
      </c>
      <c r="D52" s="611"/>
      <c r="E52" s="323">
        <f t="shared" si="1"/>
        <v>0</v>
      </c>
    </row>
    <row r="53" spans="2:5" ht="12.75">
      <c r="B53" s="418" t="s">
        <v>487</v>
      </c>
      <c r="C53" s="998">
        <f>IF(C10=2,C8,0)</f>
        <v>0</v>
      </c>
      <c r="D53" s="611"/>
      <c r="E53" s="323">
        <f t="shared" si="1"/>
        <v>0</v>
      </c>
    </row>
    <row r="54" spans="2:5" ht="12.75">
      <c r="B54" s="418" t="s">
        <v>488</v>
      </c>
      <c r="C54" s="998">
        <f>IF(C10=3,C8,0)</f>
        <v>0</v>
      </c>
      <c r="D54" s="611"/>
      <c r="E54" s="323">
        <f t="shared" si="1"/>
        <v>0</v>
      </c>
    </row>
    <row r="55" spans="2:5" ht="13.5" thickBot="1">
      <c r="B55" s="983" t="s">
        <v>494</v>
      </c>
      <c r="C55" s="999">
        <f>IF(C10=4,C8,0)</f>
        <v>1</v>
      </c>
      <c r="D55" s="984"/>
      <c r="E55" s="333">
        <f t="shared" si="1"/>
        <v>0</v>
      </c>
    </row>
    <row r="56" spans="2:5" ht="13.5" thickBot="1">
      <c r="D56" s="985" t="s">
        <v>9</v>
      </c>
      <c r="E56" s="991">
        <f>SUMIF(E50:E55,"&gt;0",E50:E55)</f>
        <v>0</v>
      </c>
    </row>
  </sheetData>
  <sheetProtection algorithmName="SHA-512" hashValue="BjRUWlxpEQeNbYUYjdxVj+C713aJpLw7Hmwp2QoI0bSsFaAM7raY72GO5n74w3EQ0MaHE5nlotoWlAL0HlJWug==" saltValue="vM+ij/WZWDB6zoiBITuC1Q==" spinCount="100000" sheet="1" objects="1" scenarios="1"/>
  <mergeCells count="8">
    <mergeCell ref="B14:E14"/>
    <mergeCell ref="D10:F10"/>
    <mergeCell ref="D11:E11"/>
    <mergeCell ref="B3:E3"/>
    <mergeCell ref="D4:F5"/>
    <mergeCell ref="D6:F7"/>
    <mergeCell ref="D8:F8"/>
    <mergeCell ref="F12:F13"/>
  </mergeCells>
  <conditionalFormatting sqref="C16:E17 C37:E45 D32:E36 C20:E31 D18:E19">
    <cfRule type="cellIs" dxfId="114" priority="3" operator="greaterThan">
      <formula>0</formula>
    </cfRule>
  </conditionalFormatting>
  <conditionalFormatting sqref="E46">
    <cfRule type="cellIs" dxfId="113" priority="24" operator="greaterThan">
      <formula>0</formula>
    </cfRule>
  </conditionalFormatting>
  <conditionalFormatting sqref="D50:D55">
    <cfRule type="cellIs" dxfId="112" priority="15" operator="greaterThan">
      <formula>0</formula>
    </cfRule>
    <cfRule type="cellIs" dxfId="111" priority="16" operator="greaterThan">
      <formula>0</formula>
    </cfRule>
  </conditionalFormatting>
  <conditionalFormatting sqref="C50:C51 C53:C55">
    <cfRule type="cellIs" dxfId="110" priority="21" operator="equal">
      <formula>"ДА"</formula>
    </cfRule>
    <cfRule type="cellIs" dxfId="109" priority="22" operator="equal">
      <formula>"НЕТ"</formula>
    </cfRule>
  </conditionalFormatting>
  <conditionalFormatting sqref="C50:C51 C53:C5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2">
    <cfRule type="cellIs" dxfId="108" priority="18" operator="equal">
      <formula>"ДА"</formula>
    </cfRule>
    <cfRule type="cellIs" dxfId="107" priority="19" operator="equal">
      <formula>"НЕТ"</formula>
    </cfRule>
  </conditionalFormatting>
  <conditionalFormatting sqref="C52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0:E55">
    <cfRule type="cellIs" dxfId="106" priority="17" operator="greaterThan">
      <formula>0</formula>
    </cfRule>
  </conditionalFormatting>
  <conditionalFormatting sqref="C50:C55">
    <cfRule type="cellIs" dxfId="105" priority="13" operator="equal">
      <formula>"НЕТ"</formula>
    </cfRule>
    <cfRule type="cellIs" dxfId="104" priority="14" operator="equal">
      <formula>"ДА"</formula>
    </cfRule>
  </conditionalFormatting>
  <conditionalFormatting sqref="C50:C55">
    <cfRule type="cellIs" dxfId="103" priority="12" operator="equal">
      <formula>"ДА"</formula>
    </cfRule>
  </conditionalFormatting>
  <conditionalFormatting sqref="C52">
    <cfRule type="cellIs" dxfId="102" priority="9" operator="equal">
      <formula>"ДА"</formula>
    </cfRule>
    <cfRule type="cellIs" dxfId="101" priority="10" operator="equal">
      <formula>"НЕТ"</formula>
    </cfRule>
  </conditionalFormatting>
  <conditionalFormatting sqref="C52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0:E55">
    <cfRule type="cellIs" dxfId="100" priority="25" operator="greaterThan">
      <formula>0</formula>
    </cfRule>
    <cfRule type="cellIs" dxfId="99" priority="4" operator="greaterThan">
      <formula>0</formula>
    </cfRule>
    <cfRule type="cellIs" dxfId="98" priority="8" operator="greaterThan">
      <formula>0</formula>
    </cfRule>
  </conditionalFormatting>
  <conditionalFormatting sqref="C52">
    <cfRule type="cellIs" dxfId="97" priority="5" operator="equal">
      <formula>"ДА"</formula>
    </cfRule>
    <cfRule type="cellIs" dxfId="96" priority="6" operator="equal">
      <formula>"НЕТ"</formula>
    </cfRule>
  </conditionalFormatting>
  <conditionalFormatting sqref="C52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95" priority="2" operator="greaterThan">
      <formula>0</formula>
    </cfRule>
  </conditionalFormatting>
  <conditionalFormatting sqref="C18:C19">
    <cfRule type="cellIs" dxfId="94" priority="1" operator="greaterThan">
      <formula>0</formula>
    </cfRule>
  </conditionalFormatting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7"/>
  <sheetViews>
    <sheetView workbookViewId="0">
      <pane xSplit="1" ySplit="16" topLeftCell="B17" activePane="bottomRight" state="frozen"/>
      <selection pane="topRight" activeCell="B1" sqref="B1"/>
      <selection pane="bottomLeft" activeCell="A17" sqref="A17"/>
      <selection pane="bottomRight" activeCell="F28" sqref="F28"/>
    </sheetView>
  </sheetViews>
  <sheetFormatPr defaultRowHeight="11.25"/>
  <cols>
    <col min="2" max="2" width="49.5" customWidth="1"/>
    <col min="4" max="4" width="13" customWidth="1"/>
    <col min="5" max="5" width="15.1640625" customWidth="1"/>
    <col min="6" max="6" width="29.6640625" customWidth="1"/>
  </cols>
  <sheetData>
    <row r="3" spans="2:6" ht="27" thickBot="1">
      <c r="B3" s="1161"/>
      <c r="C3" s="1162"/>
      <c r="D3" s="1162"/>
      <c r="E3" s="1162"/>
      <c r="F3" s="944"/>
    </row>
    <row r="4" spans="2:6">
      <c r="B4" s="960" t="s">
        <v>10</v>
      </c>
      <c r="C4" s="961">
        <v>2</v>
      </c>
      <c r="D4" s="1314" t="s">
        <v>595</v>
      </c>
      <c r="E4" s="1314"/>
      <c r="F4" s="1315"/>
    </row>
    <row r="5" spans="2:6" ht="12" thickBot="1">
      <c r="B5" s="962" t="s">
        <v>1</v>
      </c>
      <c r="C5" s="963">
        <v>2</v>
      </c>
      <c r="D5" s="1316"/>
      <c r="E5" s="1316"/>
      <c r="F5" s="1317"/>
    </row>
    <row r="6" spans="2:6">
      <c r="B6" s="960" t="s">
        <v>940</v>
      </c>
      <c r="C6" s="964">
        <v>1</v>
      </c>
      <c r="D6" s="1318" t="s">
        <v>597</v>
      </c>
      <c r="E6" s="1318"/>
      <c r="F6" s="1319"/>
    </row>
    <row r="7" spans="2:6" ht="12" thickBot="1">
      <c r="B7" s="962" t="s">
        <v>414</v>
      </c>
      <c r="C7" s="965">
        <v>0</v>
      </c>
      <c r="D7" s="1320"/>
      <c r="E7" s="1320"/>
      <c r="F7" s="1321"/>
    </row>
    <row r="8" spans="2:6" ht="12" thickBot="1">
      <c r="B8" s="1000" t="s">
        <v>959</v>
      </c>
      <c r="C8" s="964">
        <v>0</v>
      </c>
      <c r="D8" s="510" t="s">
        <v>960</v>
      </c>
      <c r="E8" s="364" t="s">
        <v>961</v>
      </c>
      <c r="F8" s="1001"/>
    </row>
    <row r="9" spans="2:6" ht="11.25" customHeight="1">
      <c r="B9" s="813" t="s">
        <v>589</v>
      </c>
      <c r="C9" s="830">
        <v>4</v>
      </c>
      <c r="D9" s="1324" t="s">
        <v>958</v>
      </c>
      <c r="E9" s="1325"/>
      <c r="F9" s="1326"/>
    </row>
    <row r="10" spans="2:6" ht="12" thickBot="1">
      <c r="B10" s="814" t="s">
        <v>277</v>
      </c>
      <c r="C10" s="829">
        <v>0</v>
      </c>
      <c r="D10" s="1152" t="s">
        <v>30</v>
      </c>
      <c r="E10" s="1153"/>
      <c r="F10" s="967"/>
    </row>
    <row r="11" spans="2:6">
      <c r="B11" s="1010" t="s">
        <v>361</v>
      </c>
      <c r="C11" s="1011">
        <v>0</v>
      </c>
      <c r="D11" s="510" t="s">
        <v>287</v>
      </c>
      <c r="E11" s="364" t="s">
        <v>255</v>
      </c>
      <c r="F11" s="1335" t="s">
        <v>597</v>
      </c>
    </row>
    <row r="12" spans="2:6">
      <c r="B12" s="1012" t="s">
        <v>362</v>
      </c>
      <c r="C12" s="1013">
        <v>0</v>
      </c>
      <c r="D12" s="511" t="s">
        <v>287</v>
      </c>
      <c r="E12" s="369" t="s">
        <v>255</v>
      </c>
      <c r="F12" s="1336"/>
    </row>
    <row r="13" spans="2:6">
      <c r="B13" s="1014" t="s">
        <v>466</v>
      </c>
      <c r="C13" s="1015">
        <v>1</v>
      </c>
      <c r="D13" s="367" t="s">
        <v>287</v>
      </c>
      <c r="E13" s="366" t="s">
        <v>255</v>
      </c>
      <c r="F13" s="1336"/>
    </row>
    <row r="14" spans="2:6" ht="12" thickBot="1">
      <c r="B14" s="1016" t="s">
        <v>984</v>
      </c>
      <c r="C14" s="1017">
        <v>0</v>
      </c>
      <c r="D14" s="521" t="s">
        <v>287</v>
      </c>
      <c r="E14" s="371" t="s">
        <v>255</v>
      </c>
      <c r="F14" s="1337"/>
    </row>
    <row r="15" spans="2:6" ht="12" thickBot="1">
      <c r="B15" s="1256"/>
      <c r="C15" s="1256"/>
      <c r="D15" s="1256"/>
      <c r="E15" s="1256"/>
      <c r="F15" s="945"/>
    </row>
    <row r="16" spans="2:6" ht="13.5" thickBot="1">
      <c r="B16" s="968" t="s">
        <v>5</v>
      </c>
      <c r="C16" s="969" t="s">
        <v>0</v>
      </c>
      <c r="D16" s="970" t="s">
        <v>4</v>
      </c>
      <c r="E16" s="971" t="s">
        <v>8</v>
      </c>
      <c r="F16" s="972"/>
    </row>
    <row r="17" spans="2:6">
      <c r="B17" s="1018" t="s">
        <v>985</v>
      </c>
      <c r="C17" s="1021">
        <f>C13*(C6+C7)</f>
        <v>1</v>
      </c>
      <c r="D17" s="458"/>
      <c r="E17" s="1003">
        <f t="shared" ref="E17:E46" si="0">D17*C17</f>
        <v>0</v>
      </c>
      <c r="F17" s="975"/>
    </row>
    <row r="18" spans="2:6">
      <c r="B18" s="341" t="s">
        <v>117</v>
      </c>
      <c r="C18" s="1022">
        <f>(C11+C12)*2*(C6+C7)</f>
        <v>0</v>
      </c>
      <c r="D18" s="616"/>
      <c r="E18" s="1020">
        <f t="shared" si="0"/>
        <v>0</v>
      </c>
      <c r="F18" s="975"/>
    </row>
    <row r="19" spans="2:6">
      <c r="B19" s="341" t="s">
        <v>986</v>
      </c>
      <c r="C19" s="1023">
        <f>C14*(C6+C7)</f>
        <v>0</v>
      </c>
      <c r="D19" s="551"/>
      <c r="E19" s="1004">
        <f t="shared" si="0"/>
        <v>0</v>
      </c>
      <c r="F19" s="975"/>
    </row>
    <row r="20" spans="2:6">
      <c r="B20" s="346" t="s">
        <v>962</v>
      </c>
      <c r="C20" s="1024">
        <f>IF(AND(C6+C7&gt;0,C4&lt;=1),(C6+C7)*2,IF(AND(C6+C7&gt;0,C4&lt;=1.5),(C6+C7)*3,IF(AND(C6+C7&gt;0,C4&lt;=2),(C6+C7)*4,IF(AND(C6+C7&gt;0,C4&lt;=2.5),(C6+C7)*5,IF(AND(C6+C7&gt;0,C4&lt;=3),(C6+C7)*6,0)))))</f>
        <v>4</v>
      </c>
      <c r="D20" s="551"/>
      <c r="E20" s="1004">
        <f t="shared" si="0"/>
        <v>0</v>
      </c>
      <c r="F20" s="975"/>
    </row>
    <row r="21" spans="2:6">
      <c r="B21" s="346" t="s">
        <v>963</v>
      </c>
      <c r="C21" s="1024">
        <f>IF(AND(C6+C7&gt;0,C4&lt;=1,C8=1),(C6+C7)*2,IF(AND(C6+C7&gt;0,C4&lt;=1.5,C8=1),(C6+C7)*3,IF(AND(C6+C7&gt;0,C4&lt;=2,C8=1),(C6+C7)*4,IF(AND(C6+C7&gt;0,C4&lt;=2.5,C8=1),(C6+C7)*5,IF(AND(C6+C7&gt;0,C4&lt;=3,C8=1),(C6+C7)*6,0)))))</f>
        <v>0</v>
      </c>
      <c r="D21" s="551"/>
      <c r="E21" s="1004">
        <f t="shared" si="0"/>
        <v>0</v>
      </c>
      <c r="F21" s="975"/>
    </row>
    <row r="22" spans="2:6">
      <c r="B22" s="346" t="s">
        <v>964</v>
      </c>
      <c r="C22" s="1024">
        <f>IF(C4&gt;0,(C6+C7),0)</f>
        <v>1</v>
      </c>
      <c r="D22" s="551"/>
      <c r="E22" s="1004">
        <f t="shared" si="0"/>
        <v>0</v>
      </c>
      <c r="F22" s="975"/>
    </row>
    <row r="23" spans="2:6">
      <c r="B23" s="346" t="s">
        <v>965</v>
      </c>
      <c r="C23" s="1024">
        <f>IF(C4&gt;0,(C6+C7),0)</f>
        <v>1</v>
      </c>
      <c r="D23" s="551"/>
      <c r="E23" s="1004">
        <f t="shared" si="0"/>
        <v>0</v>
      </c>
      <c r="F23" s="975"/>
    </row>
    <row r="24" spans="2:6">
      <c r="B24" s="341" t="s">
        <v>966</v>
      </c>
      <c r="C24" s="1025">
        <f>(C6+C7)</f>
        <v>1</v>
      </c>
      <c r="D24" s="551"/>
      <c r="E24" s="1004">
        <f t="shared" si="0"/>
        <v>0</v>
      </c>
      <c r="F24" s="975"/>
    </row>
    <row r="25" spans="2:6">
      <c r="B25" s="346" t="s">
        <v>119</v>
      </c>
      <c r="C25" s="1023">
        <f>IF(C7&gt;0,C4*C7+(C11*(C6+C7)*C4),0)</f>
        <v>0</v>
      </c>
      <c r="D25" s="551"/>
      <c r="E25" s="1004">
        <f t="shared" si="0"/>
        <v>0</v>
      </c>
      <c r="F25" s="975"/>
    </row>
    <row r="26" spans="2:6">
      <c r="B26" s="341" t="s">
        <v>987</v>
      </c>
      <c r="C26" s="1023">
        <f>C12*2*(C6+C7)*C4</f>
        <v>0</v>
      </c>
      <c r="D26" s="551"/>
      <c r="E26" s="1004">
        <f t="shared" si="0"/>
        <v>0</v>
      </c>
      <c r="F26" s="975"/>
    </row>
    <row r="27" spans="2:6">
      <c r="B27" s="346" t="s">
        <v>988</v>
      </c>
      <c r="C27" s="1023">
        <f>C13*(C6+C7)*C4</f>
        <v>2</v>
      </c>
      <c r="D27" s="551"/>
      <c r="E27" s="1004">
        <f t="shared" si="0"/>
        <v>0</v>
      </c>
      <c r="F27" s="975"/>
    </row>
    <row r="28" spans="2:6">
      <c r="B28" s="346" t="s">
        <v>945</v>
      </c>
      <c r="C28" s="1023">
        <f>C4*(C14*(C6+C7))</f>
        <v>0</v>
      </c>
      <c r="D28" s="551"/>
      <c r="E28" s="1004">
        <f t="shared" si="0"/>
        <v>0</v>
      </c>
      <c r="F28" s="975"/>
    </row>
    <row r="29" spans="2:6">
      <c r="B29" s="341" t="s">
        <v>946</v>
      </c>
      <c r="C29" s="1023">
        <f>C4*C6</f>
        <v>2</v>
      </c>
      <c r="D29" s="551"/>
      <c r="E29" s="1004">
        <f t="shared" si="0"/>
        <v>0</v>
      </c>
      <c r="F29" s="975"/>
    </row>
    <row r="30" spans="2:6">
      <c r="B30" s="341" t="s">
        <v>947</v>
      </c>
      <c r="C30" s="1024">
        <f>C4*C6</f>
        <v>2</v>
      </c>
      <c r="D30" s="551"/>
      <c r="E30" s="1004">
        <f t="shared" si="0"/>
        <v>0</v>
      </c>
      <c r="F30" s="975"/>
    </row>
    <row r="31" spans="2:6">
      <c r="B31" s="341" t="s">
        <v>948</v>
      </c>
      <c r="C31" s="1023">
        <f>C4*C7</f>
        <v>0</v>
      </c>
      <c r="D31" s="551"/>
      <c r="E31" s="1004">
        <f t="shared" si="0"/>
        <v>0</v>
      </c>
      <c r="F31" s="975"/>
    </row>
    <row r="32" spans="2:6">
      <c r="B32" s="346" t="s">
        <v>953</v>
      </c>
      <c r="C32" s="1024">
        <f>IF(C7&gt;0,C7,0)</f>
        <v>0</v>
      </c>
      <c r="D32" s="551"/>
      <c r="E32" s="1004">
        <f t="shared" si="0"/>
        <v>0</v>
      </c>
      <c r="F32" s="975"/>
    </row>
    <row r="33" spans="2:6">
      <c r="B33" s="346" t="s">
        <v>954</v>
      </c>
      <c r="C33" s="1024">
        <f>IF(C6&gt;0,C6,0)</f>
        <v>1</v>
      </c>
      <c r="D33" s="551"/>
      <c r="E33" s="1004">
        <f t="shared" si="0"/>
        <v>0</v>
      </c>
      <c r="F33" s="975"/>
    </row>
    <row r="34" spans="2:6">
      <c r="B34" s="346" t="s">
        <v>956</v>
      </c>
      <c r="C34" s="1024">
        <f>C6+C7</f>
        <v>1</v>
      </c>
      <c r="D34" s="551"/>
      <c r="E34" s="1004">
        <f t="shared" si="0"/>
        <v>0</v>
      </c>
      <c r="F34" s="975"/>
    </row>
    <row r="35" spans="2:6">
      <c r="B35" s="346" t="s">
        <v>955</v>
      </c>
      <c r="C35" s="1024">
        <f>IF(C7&gt;0,C7,0)</f>
        <v>0</v>
      </c>
      <c r="D35" s="551"/>
      <c r="E35" s="1004">
        <f t="shared" si="0"/>
        <v>0</v>
      </c>
      <c r="F35" s="975"/>
    </row>
    <row r="36" spans="2:6" ht="12.75">
      <c r="B36" s="990" t="s">
        <v>145</v>
      </c>
      <c r="C36" s="1024">
        <f>C10</f>
        <v>0</v>
      </c>
      <c r="D36" s="551"/>
      <c r="E36" s="1004">
        <f t="shared" si="0"/>
        <v>0</v>
      </c>
      <c r="F36" s="975"/>
    </row>
    <row r="37" spans="2:6">
      <c r="B37" s="341" t="s">
        <v>967</v>
      </c>
      <c r="C37" s="1023">
        <f>(C6+C7)*C4</f>
        <v>2</v>
      </c>
      <c r="D37" s="551"/>
      <c r="E37" s="1004">
        <f t="shared" si="0"/>
        <v>0</v>
      </c>
      <c r="F37" s="975"/>
    </row>
    <row r="38" spans="2:6">
      <c r="B38" s="341" t="s">
        <v>968</v>
      </c>
      <c r="C38" s="1023">
        <f>(C6+C7)*C4</f>
        <v>2</v>
      </c>
      <c r="D38" s="551"/>
      <c r="E38" s="1004">
        <f t="shared" si="0"/>
        <v>0</v>
      </c>
      <c r="F38" s="975"/>
    </row>
    <row r="39" spans="2:6">
      <c r="B39" s="341" t="s">
        <v>950</v>
      </c>
      <c r="C39" s="1023">
        <f>C6</f>
        <v>1</v>
      </c>
      <c r="D39" s="551"/>
      <c r="E39" s="1004">
        <f t="shared" si="0"/>
        <v>0</v>
      </c>
      <c r="F39" s="975"/>
    </row>
    <row r="40" spans="2:6">
      <c r="B40" s="346" t="s">
        <v>951</v>
      </c>
      <c r="C40" s="1024">
        <f>C7</f>
        <v>0</v>
      </c>
      <c r="D40" s="551"/>
      <c r="E40" s="1004">
        <f t="shared" si="0"/>
        <v>0</v>
      </c>
      <c r="F40" s="975"/>
    </row>
    <row r="41" spans="2:6">
      <c r="B41" s="346" t="s">
        <v>789</v>
      </c>
      <c r="C41" s="1024">
        <f>(C6+C7)*8</f>
        <v>8</v>
      </c>
      <c r="D41" s="551"/>
      <c r="E41" s="1004">
        <f t="shared" si="0"/>
        <v>0</v>
      </c>
      <c r="F41" s="975"/>
    </row>
    <row r="42" spans="2:6">
      <c r="B42" s="346" t="s">
        <v>989</v>
      </c>
      <c r="C42" s="1024">
        <f>(C6+C7)*C4*C13</f>
        <v>2</v>
      </c>
      <c r="D42" s="551"/>
      <c r="E42" s="1004">
        <f t="shared" si="0"/>
        <v>0</v>
      </c>
      <c r="F42" s="975"/>
    </row>
    <row r="43" spans="2:6">
      <c r="B43" s="346" t="s">
        <v>364</v>
      </c>
      <c r="C43" s="1024">
        <f>(C6+C7)*C4*C11</f>
        <v>0</v>
      </c>
      <c r="D43" s="551"/>
      <c r="E43" s="1004">
        <f t="shared" si="0"/>
        <v>0</v>
      </c>
      <c r="F43" s="975"/>
    </row>
    <row r="44" spans="2:6">
      <c r="B44" s="346" t="s">
        <v>365</v>
      </c>
      <c r="C44" s="1024">
        <f>(C6+C7)*C4*C12</f>
        <v>0</v>
      </c>
      <c r="D44" s="551"/>
      <c r="E44" s="1004">
        <f t="shared" si="0"/>
        <v>0</v>
      </c>
      <c r="F44" s="975"/>
    </row>
    <row r="45" spans="2:6">
      <c r="B45" s="346" t="s">
        <v>990</v>
      </c>
      <c r="C45" s="1024">
        <f>(C6+C7)*C4*C14</f>
        <v>0</v>
      </c>
      <c r="D45" s="551"/>
      <c r="E45" s="1004">
        <f t="shared" si="0"/>
        <v>0</v>
      </c>
      <c r="F45" s="975"/>
    </row>
    <row r="46" spans="2:6" ht="12" thickBot="1">
      <c r="B46" s="979" t="s">
        <v>952</v>
      </c>
      <c r="C46" s="1026">
        <f>IF(C4&gt;0,C6,0)</f>
        <v>1</v>
      </c>
      <c r="D46" s="590"/>
      <c r="E46" s="1005">
        <f t="shared" si="0"/>
        <v>0</v>
      </c>
      <c r="F46" s="975"/>
    </row>
    <row r="47" spans="2:6" ht="13.5" thickBot="1">
      <c r="B47" s="316"/>
      <c r="C47" s="316"/>
      <c r="D47" s="384" t="s">
        <v>9</v>
      </c>
      <c r="E47" s="981">
        <f>SUMIF(E17:E46,"&gt;0",E17:E46)</f>
        <v>0</v>
      </c>
      <c r="F47" s="975"/>
    </row>
    <row r="48" spans="2:6">
      <c r="F48" s="975"/>
    </row>
    <row r="49" spans="2:6">
      <c r="F49" s="975"/>
    </row>
    <row r="50" spans="2:6" ht="15.75" thickBot="1">
      <c r="B50" s="986" t="s">
        <v>957</v>
      </c>
      <c r="F50" s="975"/>
    </row>
    <row r="51" spans="2:6" ht="12.75">
      <c r="B51" s="571" t="s">
        <v>489</v>
      </c>
      <c r="C51" s="997">
        <f>IF(C9=1,C6+C7,0)</f>
        <v>0</v>
      </c>
      <c r="D51" s="982"/>
      <c r="E51" s="574">
        <f t="shared" ref="E51:E56" si="1">C51*D51</f>
        <v>0</v>
      </c>
    </row>
    <row r="52" spans="2:6" ht="12.75">
      <c r="B52" s="418" t="s">
        <v>486</v>
      </c>
      <c r="C52" s="998">
        <f>IF(C9=6,C6+C7,0)</f>
        <v>0</v>
      </c>
      <c r="D52" s="611"/>
      <c r="E52" s="323">
        <f t="shared" si="1"/>
        <v>0</v>
      </c>
    </row>
    <row r="53" spans="2:6" ht="12.75">
      <c r="B53" s="418" t="s">
        <v>591</v>
      </c>
      <c r="C53" s="998">
        <f>IF(C9=5,C6+C7,0)</f>
        <v>0</v>
      </c>
      <c r="D53" s="611"/>
      <c r="E53" s="323">
        <f t="shared" si="1"/>
        <v>0</v>
      </c>
    </row>
    <row r="54" spans="2:6" ht="12.75">
      <c r="B54" s="418" t="s">
        <v>487</v>
      </c>
      <c r="C54" s="998">
        <f>IF(C9=2,C6+C7,0)</f>
        <v>0</v>
      </c>
      <c r="D54" s="611"/>
      <c r="E54" s="323">
        <f t="shared" si="1"/>
        <v>0</v>
      </c>
    </row>
    <row r="55" spans="2:6" ht="12.75">
      <c r="B55" s="418" t="s">
        <v>488</v>
      </c>
      <c r="C55" s="998">
        <f>IF(C9=3,C6+C7,0)</f>
        <v>0</v>
      </c>
      <c r="D55" s="611"/>
      <c r="E55" s="323">
        <f t="shared" si="1"/>
        <v>0</v>
      </c>
    </row>
    <row r="56" spans="2:6" ht="13.5" thickBot="1">
      <c r="B56" s="983" t="s">
        <v>494</v>
      </c>
      <c r="C56" s="999">
        <f>IF(C9=4,C6+C7,0)</f>
        <v>1</v>
      </c>
      <c r="D56" s="984"/>
      <c r="E56" s="333">
        <f t="shared" si="1"/>
        <v>0</v>
      </c>
    </row>
    <row r="57" spans="2:6" ht="13.5" thickBot="1">
      <c r="D57" s="985" t="s">
        <v>9</v>
      </c>
      <c r="E57" s="991">
        <f>SUMIF(E51:E56,"&gt;0",E51:E56)</f>
        <v>0</v>
      </c>
    </row>
  </sheetData>
  <sheetProtection algorithmName="SHA-512" hashValue="8C8LuVt93rsoHTr4HgHPKvdY0ffFYabUonHSzaECZ5OEHcN54iJXj1BS8KwOp3vzNRi1J7k7khT+WKVp5VIQVA==" saltValue="nc7km5viiXCRbdbmJEo6tg==" spinCount="100000" sheet="1" objects="1" scenarios="1"/>
  <mergeCells count="7">
    <mergeCell ref="B3:E3"/>
    <mergeCell ref="D4:F5"/>
    <mergeCell ref="D6:F7"/>
    <mergeCell ref="F11:F14"/>
    <mergeCell ref="B15:E15"/>
    <mergeCell ref="D9:F9"/>
    <mergeCell ref="D10:E10"/>
  </mergeCells>
  <conditionalFormatting sqref="D46:E46 C37:E45 D32:E36 C17:E31">
    <cfRule type="cellIs" dxfId="93" priority="27" operator="greaterThan">
      <formula>0</formula>
    </cfRule>
  </conditionalFormatting>
  <conditionalFormatting sqref="E47">
    <cfRule type="cellIs" dxfId="92" priority="26" operator="greaterThan">
      <formula>0</formula>
    </cfRule>
  </conditionalFormatting>
  <conditionalFormatting sqref="C46">
    <cfRule type="cellIs" dxfId="91" priority="4" operator="greaterThan">
      <formula>0</formula>
    </cfRule>
  </conditionalFormatting>
  <conditionalFormatting sqref="D51:D56">
    <cfRule type="cellIs" dxfId="90" priority="17" operator="greaterThan">
      <formula>0</formula>
    </cfRule>
    <cfRule type="cellIs" dxfId="89" priority="18" operator="greaterThan">
      <formula>0</formula>
    </cfRule>
  </conditionalFormatting>
  <conditionalFormatting sqref="C51:C52 C54:C56">
    <cfRule type="cellIs" dxfId="88" priority="23" operator="equal">
      <formula>"ДА"</formula>
    </cfRule>
    <cfRule type="cellIs" dxfId="87" priority="24" operator="equal">
      <formula>"НЕТ"</formula>
    </cfRule>
  </conditionalFormatting>
  <conditionalFormatting sqref="C51:C52 C54:C56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3">
    <cfRule type="cellIs" dxfId="86" priority="20" operator="equal">
      <formula>"ДА"</formula>
    </cfRule>
    <cfRule type="cellIs" dxfId="85" priority="21" operator="equal">
      <formula>"НЕТ"</formula>
    </cfRule>
  </conditionalFormatting>
  <conditionalFormatting sqref="C53">
    <cfRule type="colorScale" priority="2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1:E56">
    <cfRule type="cellIs" dxfId="84" priority="19" operator="greaterThan">
      <formula>0</formula>
    </cfRule>
  </conditionalFormatting>
  <conditionalFormatting sqref="C51:C56">
    <cfRule type="cellIs" dxfId="83" priority="15" operator="equal">
      <formula>"НЕТ"</formula>
    </cfRule>
    <cfRule type="cellIs" dxfId="82" priority="16" operator="equal">
      <formula>"ДА"</formula>
    </cfRule>
  </conditionalFormatting>
  <conditionalFormatting sqref="C51:C56">
    <cfRule type="cellIs" dxfId="81" priority="14" operator="equal">
      <formula>"ДА"</formula>
    </cfRule>
  </conditionalFormatting>
  <conditionalFormatting sqref="C53">
    <cfRule type="cellIs" dxfId="80" priority="11" operator="equal">
      <formula>"ДА"</formula>
    </cfRule>
    <cfRule type="cellIs" dxfId="79" priority="12" operator="equal">
      <formula>"НЕТ"</formula>
    </cfRule>
  </conditionalFormatting>
  <conditionalFormatting sqref="C53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1:E56">
    <cfRule type="cellIs" dxfId="78" priority="5" operator="greaterThan">
      <formula>0</formula>
    </cfRule>
    <cfRule type="cellIs" dxfId="77" priority="6" operator="greaterThan">
      <formula>0</formula>
    </cfRule>
    <cfRule type="cellIs" dxfId="76" priority="10" operator="greaterThan">
      <formula>0</formula>
    </cfRule>
  </conditionalFormatting>
  <conditionalFormatting sqref="C53">
    <cfRule type="cellIs" dxfId="75" priority="7" operator="equal">
      <formula>"ДА"</formula>
    </cfRule>
    <cfRule type="cellIs" dxfId="74" priority="8" operator="equal">
      <formula>"НЕТ"</formula>
    </cfRule>
  </conditionalFormatting>
  <conditionalFormatting sqref="C53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2:C36">
    <cfRule type="cellIs" dxfId="73" priority="3" operator="greaterThan">
      <formula>0</formula>
    </cfRule>
  </conditionalFormatting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2"/>
  <sheetViews>
    <sheetView workbookViewId="0">
      <pane xSplit="1" ySplit="18" topLeftCell="B19" activePane="bottomRight" state="frozen"/>
      <selection pane="topRight" activeCell="B1" sqref="B1"/>
      <selection pane="bottomLeft" activeCell="A19" sqref="A19"/>
      <selection pane="bottomRight" activeCell="C4" sqref="C4:C16"/>
    </sheetView>
  </sheetViews>
  <sheetFormatPr defaultRowHeight="11.25"/>
  <cols>
    <col min="2" max="2" width="52.6640625" customWidth="1"/>
    <col min="4" max="4" width="13.6640625" customWidth="1"/>
    <col min="5" max="5" width="12.6640625" customWidth="1"/>
    <col min="6" max="6" width="29.83203125" customWidth="1"/>
  </cols>
  <sheetData>
    <row r="3" spans="2:6" ht="27" thickBot="1">
      <c r="B3" s="1161"/>
      <c r="C3" s="1162"/>
      <c r="D3" s="1162"/>
      <c r="E3" s="1162"/>
      <c r="F3" s="944"/>
    </row>
    <row r="4" spans="2:6">
      <c r="B4" s="960" t="s">
        <v>970</v>
      </c>
      <c r="C4" s="961">
        <v>4</v>
      </c>
      <c r="D4" s="1258" t="s">
        <v>595</v>
      </c>
      <c r="E4" s="1259"/>
      <c r="F4" s="1260"/>
    </row>
    <row r="5" spans="2:6" ht="12" thickBot="1">
      <c r="B5" s="962" t="s">
        <v>558</v>
      </c>
      <c r="C5" s="963">
        <v>2</v>
      </c>
      <c r="D5" s="1329"/>
      <c r="E5" s="1330"/>
      <c r="F5" s="1331"/>
    </row>
    <row r="6" spans="2:6">
      <c r="B6" s="960" t="s">
        <v>971</v>
      </c>
      <c r="C6" s="961">
        <v>1</v>
      </c>
      <c r="D6" s="1329"/>
      <c r="E6" s="1330"/>
      <c r="F6" s="1331"/>
    </row>
    <row r="7" spans="2:6" ht="12" thickBot="1">
      <c r="B7" s="962" t="s">
        <v>559</v>
      </c>
      <c r="C7" s="963">
        <v>2</v>
      </c>
      <c r="D7" s="1261"/>
      <c r="E7" s="1262"/>
      <c r="F7" s="1263"/>
    </row>
    <row r="8" spans="2:6">
      <c r="B8" s="960" t="s">
        <v>940</v>
      </c>
      <c r="C8" s="964">
        <v>1</v>
      </c>
      <c r="D8" s="1318" t="s">
        <v>597</v>
      </c>
      <c r="E8" s="1318"/>
      <c r="F8" s="1319"/>
    </row>
    <row r="9" spans="2:6" ht="12" thickBot="1">
      <c r="B9" s="962" t="s">
        <v>414</v>
      </c>
      <c r="C9" s="965">
        <v>0</v>
      </c>
      <c r="D9" s="1320"/>
      <c r="E9" s="1320"/>
      <c r="F9" s="1321"/>
    </row>
    <row r="10" spans="2:6" ht="12" thickBot="1">
      <c r="B10" s="1000" t="s">
        <v>959</v>
      </c>
      <c r="C10" s="964">
        <v>1</v>
      </c>
      <c r="D10" s="510" t="s">
        <v>960</v>
      </c>
      <c r="E10" s="364" t="s">
        <v>961</v>
      </c>
      <c r="F10" s="1001"/>
    </row>
    <row r="11" spans="2:6" ht="22.5" customHeight="1">
      <c r="B11" s="813" t="s">
        <v>589</v>
      </c>
      <c r="C11" s="830">
        <v>4</v>
      </c>
      <c r="D11" s="1324" t="s">
        <v>958</v>
      </c>
      <c r="E11" s="1325"/>
      <c r="F11" s="1326"/>
    </row>
    <row r="12" spans="2:6" ht="12" thickBot="1">
      <c r="B12" s="814" t="s">
        <v>277</v>
      </c>
      <c r="C12" s="829">
        <v>1</v>
      </c>
      <c r="D12" s="1152" t="s">
        <v>30</v>
      </c>
      <c r="E12" s="1153"/>
      <c r="F12" s="967"/>
    </row>
    <row r="13" spans="2:6">
      <c r="B13" s="1010" t="s">
        <v>361</v>
      </c>
      <c r="C13" s="1011">
        <v>0</v>
      </c>
      <c r="D13" s="510" t="s">
        <v>287</v>
      </c>
      <c r="E13" s="364" t="s">
        <v>255</v>
      </c>
      <c r="F13" s="1335" t="s">
        <v>597</v>
      </c>
    </row>
    <row r="14" spans="2:6">
      <c r="B14" s="1012" t="s">
        <v>362</v>
      </c>
      <c r="C14" s="1013">
        <v>0</v>
      </c>
      <c r="D14" s="511" t="s">
        <v>287</v>
      </c>
      <c r="E14" s="369" t="s">
        <v>255</v>
      </c>
      <c r="F14" s="1336"/>
    </row>
    <row r="15" spans="2:6">
      <c r="B15" s="1014" t="s">
        <v>466</v>
      </c>
      <c r="C15" s="1015">
        <v>1</v>
      </c>
      <c r="D15" s="367" t="s">
        <v>287</v>
      </c>
      <c r="E15" s="366" t="s">
        <v>255</v>
      </c>
      <c r="F15" s="1336"/>
    </row>
    <row r="16" spans="2:6" ht="12" thickBot="1">
      <c r="B16" s="1016" t="s">
        <v>984</v>
      </c>
      <c r="C16" s="1017">
        <v>0</v>
      </c>
      <c r="D16" s="521" t="s">
        <v>287</v>
      </c>
      <c r="E16" s="371" t="s">
        <v>255</v>
      </c>
      <c r="F16" s="1337"/>
    </row>
    <row r="17" spans="2:6" ht="12" thickBot="1">
      <c r="B17" s="1338"/>
      <c r="C17" s="1338"/>
      <c r="D17" s="1338"/>
      <c r="E17" s="1338"/>
      <c r="F17" s="945"/>
    </row>
    <row r="18" spans="2:6" ht="13.5" thickBot="1">
      <c r="B18" s="968" t="s">
        <v>5</v>
      </c>
      <c r="C18" s="969" t="s">
        <v>0</v>
      </c>
      <c r="D18" s="970" t="s">
        <v>4</v>
      </c>
      <c r="E18" s="971" t="s">
        <v>8</v>
      </c>
      <c r="F18" s="972"/>
    </row>
    <row r="19" spans="2:6">
      <c r="B19" s="1018" t="s">
        <v>985</v>
      </c>
      <c r="C19" s="1006">
        <f>C15*(C8+C9)*2</f>
        <v>2</v>
      </c>
      <c r="D19" s="458"/>
      <c r="E19" s="1004">
        <f t="shared" ref="E19:E50" si="0">D19*C19</f>
        <v>0</v>
      </c>
      <c r="F19" s="975"/>
    </row>
    <row r="20" spans="2:6">
      <c r="B20" s="341" t="s">
        <v>117</v>
      </c>
      <c r="C20" s="478">
        <f>(C13+C14)*4*(C8+C9)</f>
        <v>0</v>
      </c>
      <c r="D20" s="616"/>
      <c r="E20" s="1004">
        <f t="shared" si="0"/>
        <v>0</v>
      </c>
      <c r="F20" s="975"/>
    </row>
    <row r="21" spans="2:6">
      <c r="B21" s="341" t="s">
        <v>986</v>
      </c>
      <c r="C21" s="342">
        <f>C16*(C8+C9)*2</f>
        <v>0</v>
      </c>
      <c r="D21" s="551"/>
      <c r="E21" s="1004">
        <f t="shared" si="0"/>
        <v>0</v>
      </c>
      <c r="F21" s="975"/>
    </row>
    <row r="22" spans="2:6">
      <c r="B22" s="346" t="s">
        <v>962</v>
      </c>
      <c r="C22" s="347">
        <f>IF(AND(C8+C9&gt;0,C4&lt;=1),(C8+C9)*2,IF(AND(C8+C9&gt;0,C4&lt;=1.5),(C8+C9)*3,IF(AND(C8+C9&gt;0,C4&lt;=2),(C8+C9)*4,IF(AND(C8+C9&gt;0,C4&lt;=2.5),(C8+C9)*5,IF(AND(C8+C9&gt;0,C4&lt;=3),(C8+C9)*6,IF(AND(C8+C9&gt;0,C4&lt;=3.5),(C8+C9)*7,IF(AND(C8+C9&gt;0,C4&lt;=4),(C8+C9)*8,IF(AND(C8+C9&gt;0,C4&lt;=4.5),(C8+C9)*9,IF(AND(C8+C9&gt;0,C4&lt;=5),(C8+C9)*9,IF(AND(C8+C9&gt;0,C4&lt;=5.5),(C8)*10,IF(AND(C8+C9&gt;0,C4&lt;=6),(C8+C9)*11,0)))))))))))</f>
        <v>8</v>
      </c>
      <c r="D22" s="551"/>
      <c r="E22" s="1004">
        <f t="shared" si="0"/>
        <v>0</v>
      </c>
      <c r="F22" s="975"/>
    </row>
    <row r="23" spans="2:6">
      <c r="B23" s="346" t="s">
        <v>963</v>
      </c>
      <c r="C23" s="347">
        <f>IF(AND(C8+C9&gt;0,C4&lt;=1,C10=1),(C8+C9)*2,IF(AND(C8+C9&gt;0,C4&lt;=1.5,C10=1),(C8+C9)*3,IF(AND(C8+C9&gt;0,C4&lt;=2,C10=1),(C8+C9)*4,IF(AND(C8+C9&gt;0,C4&lt;=2.5,C10=1),(C8+C9)*5,IF(AND(C8+C9&gt;0,C4&lt;=3,C10=1),(C8+C9)*6,IF(AND(C8+C9&gt;0,C4&lt;=3.5,C10=1),(C8+C9)*7,IF(AND(C8+C9&gt;0,C4&lt;=4,C10=1),(C8+C9)*8,IF(AND(C8+C9&gt;0,C4&lt;=4.5,C10=1),(C8+C9)*9,IF(AND(C8+C9&gt;0,C4&lt;=5,C10=1),(C8+C9)*9,IF(AND(C8+C9&gt;0,C4&lt;=5.5,C10=1),(C8+C9)*10,IF(AND(C8+C9&gt;0,C4&lt;=6,C10=1),(C8+C9)*11,0)))))))))))</f>
        <v>8</v>
      </c>
      <c r="D23" s="551"/>
      <c r="E23" s="1004">
        <f t="shared" si="0"/>
        <v>0</v>
      </c>
      <c r="F23" s="975"/>
    </row>
    <row r="24" spans="2:6">
      <c r="B24" s="346" t="s">
        <v>972</v>
      </c>
      <c r="C24" s="347">
        <f>C8+C9</f>
        <v>1</v>
      </c>
      <c r="D24" s="551"/>
      <c r="E24" s="1004">
        <f t="shared" si="0"/>
        <v>0</v>
      </c>
      <c r="F24" s="975"/>
    </row>
    <row r="25" spans="2:6">
      <c r="B25" s="346" t="s">
        <v>973</v>
      </c>
      <c r="C25" s="347">
        <f>C9*2</f>
        <v>0</v>
      </c>
      <c r="D25" s="551"/>
      <c r="E25" s="1004">
        <f t="shared" si="0"/>
        <v>0</v>
      </c>
      <c r="F25" s="975"/>
    </row>
    <row r="26" spans="2:6">
      <c r="B26" s="346" t="s">
        <v>974</v>
      </c>
      <c r="C26" s="347">
        <f>C8+C9</f>
        <v>1</v>
      </c>
      <c r="D26" s="551"/>
      <c r="E26" s="1004">
        <f t="shared" si="0"/>
        <v>0</v>
      </c>
      <c r="F26" s="975"/>
    </row>
    <row r="27" spans="2:6">
      <c r="B27" s="346" t="s">
        <v>965</v>
      </c>
      <c r="C27" s="347">
        <f>IF(C4&gt;0,(C8+C9)*2,0)</f>
        <v>2</v>
      </c>
      <c r="D27" s="551"/>
      <c r="E27" s="1004">
        <f t="shared" si="0"/>
        <v>0</v>
      </c>
      <c r="F27" s="975"/>
    </row>
    <row r="28" spans="2:6">
      <c r="B28" s="341" t="s">
        <v>966</v>
      </c>
      <c r="C28" s="350">
        <f>(C8+C9)</f>
        <v>1</v>
      </c>
      <c r="D28" s="551"/>
      <c r="E28" s="1004">
        <f t="shared" si="0"/>
        <v>0</v>
      </c>
      <c r="F28" s="975"/>
    </row>
    <row r="29" spans="2:6">
      <c r="B29" s="346" t="s">
        <v>119</v>
      </c>
      <c r="C29" s="342">
        <f>IF(C9&gt;0,(C4+C6)*C9+C13*(C4+C6)*(C8+C9),0)</f>
        <v>0</v>
      </c>
      <c r="D29" s="551"/>
      <c r="E29" s="1004">
        <f t="shared" si="0"/>
        <v>0</v>
      </c>
      <c r="F29" s="975"/>
    </row>
    <row r="30" spans="2:6">
      <c r="B30" s="341" t="s">
        <v>987</v>
      </c>
      <c r="C30" s="342">
        <f>(C4+C6)*(C8+C9)*C14*2</f>
        <v>0</v>
      </c>
      <c r="D30" s="551"/>
      <c r="E30" s="1004">
        <f t="shared" si="0"/>
        <v>0</v>
      </c>
      <c r="F30" s="975"/>
    </row>
    <row r="31" spans="2:6">
      <c r="B31" s="346" t="s">
        <v>988</v>
      </c>
      <c r="C31" s="342">
        <f>C15*(C4+C6)*(C8+C9)</f>
        <v>5</v>
      </c>
      <c r="D31" s="551"/>
      <c r="E31" s="1004">
        <f t="shared" si="0"/>
        <v>0</v>
      </c>
      <c r="F31" s="975"/>
    </row>
    <row r="32" spans="2:6">
      <c r="B32" s="346" t="s">
        <v>945</v>
      </c>
      <c r="C32" s="342">
        <f>((C4+C6)*(C8+C9)+(C4+C6)*(C8+C9))*C16</f>
        <v>0</v>
      </c>
      <c r="D32" s="551"/>
      <c r="E32" s="1004">
        <f t="shared" si="0"/>
        <v>0</v>
      </c>
      <c r="F32" s="975"/>
    </row>
    <row r="33" spans="2:6">
      <c r="B33" s="341" t="s">
        <v>946</v>
      </c>
      <c r="C33" s="342">
        <f>(C4+C6)*C8</f>
        <v>5</v>
      </c>
      <c r="D33" s="551"/>
      <c r="E33" s="1004">
        <f t="shared" si="0"/>
        <v>0</v>
      </c>
      <c r="F33" s="975"/>
    </row>
    <row r="34" spans="2:6">
      <c r="B34" s="346" t="s">
        <v>953</v>
      </c>
      <c r="C34" s="347">
        <f>IF(C9&gt;0,C9,0)</f>
        <v>0</v>
      </c>
      <c r="D34" s="551"/>
      <c r="E34" s="1004">
        <f t="shared" si="0"/>
        <v>0</v>
      </c>
      <c r="F34" s="975"/>
    </row>
    <row r="35" spans="2:6">
      <c r="B35" s="346" t="s">
        <v>954</v>
      </c>
      <c r="C35" s="347">
        <f>IF(C8&gt;0,C8,0)</f>
        <v>1</v>
      </c>
      <c r="D35" s="551"/>
      <c r="E35" s="1004">
        <f t="shared" si="0"/>
        <v>0</v>
      </c>
      <c r="F35" s="975"/>
    </row>
    <row r="36" spans="2:6">
      <c r="B36" s="346" t="s">
        <v>956</v>
      </c>
      <c r="C36" s="347">
        <f>C8+C9</f>
        <v>1</v>
      </c>
      <c r="D36" s="551"/>
      <c r="E36" s="1004">
        <f t="shared" si="0"/>
        <v>0</v>
      </c>
      <c r="F36" s="975"/>
    </row>
    <row r="37" spans="2:6">
      <c r="B37" s="346" t="s">
        <v>955</v>
      </c>
      <c r="C37" s="347">
        <f>IF(C9&gt;0,C9,0)</f>
        <v>0</v>
      </c>
      <c r="D37" s="551"/>
      <c r="E37" s="1004">
        <f t="shared" si="0"/>
        <v>0</v>
      </c>
      <c r="F37" s="975"/>
    </row>
    <row r="38" spans="2:6" ht="12.75">
      <c r="B38" s="990" t="s">
        <v>145</v>
      </c>
      <c r="C38" s="347">
        <f>C12</f>
        <v>1</v>
      </c>
      <c r="D38" s="551"/>
      <c r="E38" s="1004">
        <f t="shared" si="0"/>
        <v>0</v>
      </c>
      <c r="F38" s="975"/>
    </row>
    <row r="39" spans="2:6">
      <c r="B39" s="341" t="s">
        <v>947</v>
      </c>
      <c r="C39" s="347">
        <f>(C4+C6)*C8</f>
        <v>5</v>
      </c>
      <c r="D39" s="551"/>
      <c r="E39" s="1004">
        <f t="shared" si="0"/>
        <v>0</v>
      </c>
      <c r="F39" s="975"/>
    </row>
    <row r="40" spans="2:6">
      <c r="B40" s="341" t="s">
        <v>948</v>
      </c>
      <c r="C40" s="342">
        <f>(C4+C6)*C9</f>
        <v>0</v>
      </c>
      <c r="D40" s="551"/>
      <c r="E40" s="1004">
        <f t="shared" si="0"/>
        <v>0</v>
      </c>
      <c r="F40" s="975"/>
    </row>
    <row r="41" spans="2:6">
      <c r="B41" s="341" t="s">
        <v>967</v>
      </c>
      <c r="C41" s="342">
        <f>(C8+C9)*C4</f>
        <v>4</v>
      </c>
      <c r="D41" s="551"/>
      <c r="E41" s="1004">
        <f t="shared" si="0"/>
        <v>0</v>
      </c>
      <c r="F41" s="975"/>
    </row>
    <row r="42" spans="2:6">
      <c r="B42" s="341" t="s">
        <v>968</v>
      </c>
      <c r="C42" s="342">
        <f>(C8+C9)*C4</f>
        <v>4</v>
      </c>
      <c r="D42" s="551"/>
      <c r="E42" s="1004">
        <f t="shared" si="0"/>
        <v>0</v>
      </c>
      <c r="F42" s="975"/>
    </row>
    <row r="43" spans="2:6">
      <c r="B43" s="341" t="s">
        <v>975</v>
      </c>
      <c r="C43" s="342">
        <f>C8*2</f>
        <v>2</v>
      </c>
      <c r="D43" s="551"/>
      <c r="E43" s="1004">
        <f t="shared" si="0"/>
        <v>0</v>
      </c>
      <c r="F43" s="975"/>
    </row>
    <row r="44" spans="2:6">
      <c r="B44" s="346" t="s">
        <v>893</v>
      </c>
      <c r="C44" s="347">
        <f>(C8+C9)*2</f>
        <v>2</v>
      </c>
      <c r="D44" s="551"/>
      <c r="E44" s="1004">
        <f t="shared" si="0"/>
        <v>0</v>
      </c>
      <c r="F44" s="975"/>
    </row>
    <row r="45" spans="2:6">
      <c r="B45" s="346" t="s">
        <v>789</v>
      </c>
      <c r="C45" s="347">
        <f>(C8+C9)*8</f>
        <v>8</v>
      </c>
      <c r="D45" s="551"/>
      <c r="E45" s="1004">
        <f t="shared" si="0"/>
        <v>0</v>
      </c>
      <c r="F45" s="975"/>
    </row>
    <row r="46" spans="2:6">
      <c r="B46" s="346" t="s">
        <v>989</v>
      </c>
      <c r="C46" s="347">
        <f>(C4+C6)*(C8+C9)*C15</f>
        <v>5</v>
      </c>
      <c r="D46" s="551"/>
      <c r="E46" s="1004">
        <f t="shared" si="0"/>
        <v>0</v>
      </c>
      <c r="F46" s="975"/>
    </row>
    <row r="47" spans="2:6">
      <c r="B47" s="346" t="s">
        <v>364</v>
      </c>
      <c r="C47" s="347">
        <f>(C4+C6)*(C8+C9)*C13</f>
        <v>0</v>
      </c>
      <c r="D47" s="551"/>
      <c r="E47" s="1004">
        <f t="shared" si="0"/>
        <v>0</v>
      </c>
      <c r="F47" s="975"/>
    </row>
    <row r="48" spans="2:6">
      <c r="B48" s="346" t="s">
        <v>365</v>
      </c>
      <c r="C48" s="347">
        <f>(C4+C6)*(C8+C9)*C14</f>
        <v>0</v>
      </c>
      <c r="D48" s="551"/>
      <c r="E48" s="1004">
        <f t="shared" si="0"/>
        <v>0</v>
      </c>
      <c r="F48" s="975"/>
    </row>
    <row r="49" spans="2:6">
      <c r="B49" s="346" t="s">
        <v>990</v>
      </c>
      <c r="C49" s="347">
        <f>(C4+C6)*(C8+C9)*C16</f>
        <v>0</v>
      </c>
      <c r="D49" s="551"/>
      <c r="E49" s="1004">
        <f t="shared" si="0"/>
        <v>0</v>
      </c>
      <c r="F49" s="975"/>
    </row>
    <row r="50" spans="2:6" ht="12" thickBot="1">
      <c r="B50" s="979" t="s">
        <v>952</v>
      </c>
      <c r="C50" s="402">
        <f>C8*2</f>
        <v>2</v>
      </c>
      <c r="D50" s="590"/>
      <c r="E50" s="1004">
        <f t="shared" si="0"/>
        <v>0</v>
      </c>
      <c r="F50" s="975"/>
    </row>
    <row r="51" spans="2:6" ht="13.5" thickBot="1">
      <c r="B51" s="316"/>
      <c r="C51" s="316"/>
      <c r="D51" s="384" t="s">
        <v>9</v>
      </c>
      <c r="E51" s="981">
        <f>SUMIF(E19:E50,"&gt;0",E19:E50)</f>
        <v>0</v>
      </c>
      <c r="F51" s="975"/>
    </row>
    <row r="52" spans="2:6">
      <c r="F52" s="975"/>
    </row>
    <row r="55" spans="2:6" ht="15.75" thickBot="1">
      <c r="B55" s="986" t="s">
        <v>957</v>
      </c>
    </row>
    <row r="56" spans="2:6" ht="12.75">
      <c r="B56" s="571" t="s">
        <v>489</v>
      </c>
      <c r="C56" s="997">
        <f>IF(C11=1,C8+C9,0)</f>
        <v>0</v>
      </c>
      <c r="D56" s="982"/>
      <c r="E56" s="574">
        <f t="shared" ref="E56:E61" si="1">C56*D56</f>
        <v>0</v>
      </c>
    </row>
    <row r="57" spans="2:6" ht="12.75">
      <c r="B57" s="418" t="s">
        <v>486</v>
      </c>
      <c r="C57" s="998">
        <f>IF(C11=6,C8+C9,0)</f>
        <v>0</v>
      </c>
      <c r="D57" s="611"/>
      <c r="E57" s="323">
        <f t="shared" si="1"/>
        <v>0</v>
      </c>
    </row>
    <row r="58" spans="2:6" ht="12.75">
      <c r="B58" s="418" t="s">
        <v>591</v>
      </c>
      <c r="C58" s="998">
        <f>IF(C11=5,C8+C9,0)</f>
        <v>0</v>
      </c>
      <c r="D58" s="611"/>
      <c r="E58" s="323">
        <f t="shared" si="1"/>
        <v>0</v>
      </c>
    </row>
    <row r="59" spans="2:6" ht="12.75">
      <c r="B59" s="418" t="s">
        <v>487</v>
      </c>
      <c r="C59" s="998">
        <f>IF(C11=2,C8+C9,0)</f>
        <v>0</v>
      </c>
      <c r="D59" s="611"/>
      <c r="E59" s="323">
        <f t="shared" si="1"/>
        <v>0</v>
      </c>
    </row>
    <row r="60" spans="2:6" ht="12.75">
      <c r="B60" s="418" t="s">
        <v>488</v>
      </c>
      <c r="C60" s="998">
        <f>IF(C11=3,C8+C9,0)</f>
        <v>0</v>
      </c>
      <c r="D60" s="611"/>
      <c r="E60" s="323">
        <f t="shared" si="1"/>
        <v>0</v>
      </c>
    </row>
    <row r="61" spans="2:6" ht="13.5" thickBot="1">
      <c r="B61" s="983" t="s">
        <v>494</v>
      </c>
      <c r="C61" s="999">
        <f>IF(C11=4,C8+C9,0)</f>
        <v>1</v>
      </c>
      <c r="D61" s="984"/>
      <c r="E61" s="333">
        <f t="shared" si="1"/>
        <v>0</v>
      </c>
    </row>
    <row r="62" spans="2:6" ht="13.5" thickBot="1">
      <c r="D62" s="985" t="s">
        <v>9</v>
      </c>
      <c r="E62" s="991">
        <f>SUMIF(E56:E61,"&gt;0",E56:E61)</f>
        <v>0</v>
      </c>
    </row>
  </sheetData>
  <sheetProtection algorithmName="SHA-512" hashValue="Nm0egOaCyHtOHtlzl6eAYZqg+jW81GpaeWZs7jRkQ7fhQ7a+p5aK3BFYMwGCzRXDIZuictXNtiCeRvFVG2gAaQ==" saltValue="v3Dc0cjL384EMSGiLv9h/g==" spinCount="100000" sheet="1" objects="1" scenarios="1"/>
  <mergeCells count="7">
    <mergeCell ref="B3:E3"/>
    <mergeCell ref="D4:F7"/>
    <mergeCell ref="D8:F9"/>
    <mergeCell ref="F13:F16"/>
    <mergeCell ref="B17:E17"/>
    <mergeCell ref="D11:F11"/>
    <mergeCell ref="D12:E12"/>
  </mergeCells>
  <conditionalFormatting sqref="C50:E50 E19:E21 E46:E49 C22:E33 C39:E45">
    <cfRule type="cellIs" dxfId="72" priority="28" operator="greaterThan">
      <formula>0</formula>
    </cfRule>
  </conditionalFormatting>
  <conditionalFormatting sqref="E51">
    <cfRule type="cellIs" dxfId="71" priority="27" operator="greaterThan">
      <formula>0</formula>
    </cfRule>
  </conditionalFormatting>
  <conditionalFormatting sqref="C19:E21">
    <cfRule type="cellIs" dxfId="70" priority="25" operator="greaterThan">
      <formula>0</formula>
    </cfRule>
  </conditionalFormatting>
  <conditionalFormatting sqref="C46:E49">
    <cfRule type="cellIs" dxfId="69" priority="24" operator="greaterThan">
      <formula>0</formula>
    </cfRule>
  </conditionalFormatting>
  <conditionalFormatting sqref="D56:D61">
    <cfRule type="cellIs" dxfId="68" priority="15" operator="greaterThan">
      <formula>0</formula>
    </cfRule>
    <cfRule type="cellIs" dxfId="67" priority="16" operator="greaterThan">
      <formula>0</formula>
    </cfRule>
  </conditionalFormatting>
  <conditionalFormatting sqref="C56:C57 C59:C61">
    <cfRule type="cellIs" dxfId="66" priority="21" operator="equal">
      <formula>"ДА"</formula>
    </cfRule>
    <cfRule type="cellIs" dxfId="65" priority="22" operator="equal">
      <formula>"НЕТ"</formula>
    </cfRule>
  </conditionalFormatting>
  <conditionalFormatting sqref="C56:C57 C59:C61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">
    <cfRule type="cellIs" dxfId="64" priority="18" operator="equal">
      <formula>"ДА"</formula>
    </cfRule>
    <cfRule type="cellIs" dxfId="63" priority="19" operator="equal">
      <formula>"НЕТ"</formula>
    </cfRule>
  </conditionalFormatting>
  <conditionalFormatting sqref="C58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6:E61">
    <cfRule type="cellIs" dxfId="62" priority="17" operator="greaterThan">
      <formula>0</formula>
    </cfRule>
  </conditionalFormatting>
  <conditionalFormatting sqref="C56:C61">
    <cfRule type="cellIs" dxfId="61" priority="13" operator="equal">
      <formula>"НЕТ"</formula>
    </cfRule>
    <cfRule type="cellIs" dxfId="60" priority="14" operator="equal">
      <formula>"ДА"</formula>
    </cfRule>
  </conditionalFormatting>
  <conditionalFormatting sqref="C56:C61">
    <cfRule type="cellIs" dxfId="59" priority="12" operator="equal">
      <formula>"ДА"</formula>
    </cfRule>
  </conditionalFormatting>
  <conditionalFormatting sqref="C58">
    <cfRule type="cellIs" dxfId="58" priority="9" operator="equal">
      <formula>"ДА"</formula>
    </cfRule>
    <cfRule type="cellIs" dxfId="57" priority="10" operator="equal">
      <formula>"НЕТ"</formula>
    </cfRule>
  </conditionalFormatting>
  <conditionalFormatting sqref="C5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6:E61">
    <cfRule type="cellIs" dxfId="56" priority="3" operator="greaterThan">
      <formula>0</formula>
    </cfRule>
    <cfRule type="cellIs" dxfId="55" priority="4" operator="greaterThan">
      <formula>0</formula>
    </cfRule>
    <cfRule type="cellIs" dxfId="54" priority="8" operator="greaterThan">
      <formula>0</formula>
    </cfRule>
  </conditionalFormatting>
  <conditionalFormatting sqref="C58">
    <cfRule type="cellIs" dxfId="53" priority="5" operator="equal">
      <formula>"ДА"</formula>
    </cfRule>
    <cfRule type="cellIs" dxfId="52" priority="6" operator="equal">
      <formula>"НЕТ"</formula>
    </cfRule>
  </conditionalFormatting>
  <conditionalFormatting sqref="C58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4:C38">
    <cfRule type="cellIs" dxfId="51" priority="1" operator="greaterThan">
      <formula>0</formula>
    </cfRule>
  </conditionalFormatting>
  <conditionalFormatting sqref="D34:E38">
    <cfRule type="cellIs" dxfId="50" priority="2" operator="greaterThan">
      <formula>0</formula>
    </cfRule>
  </conditionalFormatting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4"/>
  <sheetViews>
    <sheetView workbookViewId="0">
      <pane xSplit="1" ySplit="17" topLeftCell="B18" activePane="bottomRight" state="frozen"/>
      <selection pane="topRight" activeCell="B1" sqref="B1"/>
      <selection pane="bottomLeft" activeCell="A18" sqref="A18"/>
      <selection pane="bottomRight" activeCell="F29" sqref="F29"/>
    </sheetView>
  </sheetViews>
  <sheetFormatPr defaultRowHeight="11.25"/>
  <cols>
    <col min="1" max="1" width="9.5" customWidth="1"/>
    <col min="2" max="2" width="53.1640625" customWidth="1"/>
    <col min="4" max="4" width="12.5" customWidth="1"/>
    <col min="5" max="5" width="11.5" customWidth="1"/>
    <col min="6" max="6" width="32.5" customWidth="1"/>
  </cols>
  <sheetData>
    <row r="3" spans="2:6" ht="27" thickBot="1">
      <c r="B3" s="1161"/>
      <c r="C3" s="1162"/>
      <c r="D3" s="1162"/>
      <c r="E3" s="1162"/>
      <c r="F3" s="944"/>
    </row>
    <row r="4" spans="2:6">
      <c r="B4" s="960" t="s">
        <v>976</v>
      </c>
      <c r="C4" s="961">
        <v>4</v>
      </c>
      <c r="D4" s="1314" t="s">
        <v>595</v>
      </c>
      <c r="E4" s="1314"/>
      <c r="F4" s="1315"/>
    </row>
    <row r="5" spans="2:6" ht="12" thickBot="1">
      <c r="B5" s="962" t="s">
        <v>1</v>
      </c>
      <c r="C5" s="963">
        <v>2</v>
      </c>
      <c r="D5" s="1316"/>
      <c r="E5" s="1316"/>
      <c r="F5" s="1317"/>
    </row>
    <row r="6" spans="2:6" ht="12" thickBot="1">
      <c r="B6" s="1007" t="s">
        <v>977</v>
      </c>
      <c r="C6" s="964">
        <v>3</v>
      </c>
      <c r="D6" s="1318" t="s">
        <v>978</v>
      </c>
      <c r="E6" s="1318"/>
      <c r="F6" s="1319"/>
    </row>
    <row r="7" spans="2:6" ht="12" thickBot="1">
      <c r="B7" s="1007" t="s">
        <v>510</v>
      </c>
      <c r="C7" s="965">
        <v>0</v>
      </c>
      <c r="D7" s="1320"/>
      <c r="E7" s="1320"/>
      <c r="F7" s="1321"/>
    </row>
    <row r="8" spans="2:6" ht="12" thickBot="1">
      <c r="B8" s="1008" t="s">
        <v>979</v>
      </c>
      <c r="C8" s="1009">
        <v>1</v>
      </c>
      <c r="D8" s="1332" t="s">
        <v>980</v>
      </c>
      <c r="E8" s="1333"/>
      <c r="F8" s="1334"/>
    </row>
    <row r="9" spans="2:6" ht="12" thickBot="1">
      <c r="B9" s="1000" t="s">
        <v>959</v>
      </c>
      <c r="C9" s="964">
        <v>1</v>
      </c>
      <c r="D9" s="510" t="s">
        <v>960</v>
      </c>
      <c r="E9" s="364" t="s">
        <v>961</v>
      </c>
      <c r="F9" s="1001"/>
    </row>
    <row r="10" spans="2:6" ht="24.75" customHeight="1">
      <c r="B10" s="813" t="s">
        <v>589</v>
      </c>
      <c r="C10" s="830">
        <v>2</v>
      </c>
      <c r="D10" s="1324" t="s">
        <v>958</v>
      </c>
      <c r="E10" s="1325"/>
      <c r="F10" s="1326"/>
    </row>
    <row r="11" spans="2:6" ht="12" thickBot="1">
      <c r="B11" s="814" t="s">
        <v>277</v>
      </c>
      <c r="C11" s="829">
        <v>1</v>
      </c>
      <c r="D11" s="1152" t="s">
        <v>30</v>
      </c>
      <c r="E11" s="1153"/>
      <c r="F11" s="967"/>
    </row>
    <row r="12" spans="2:6">
      <c r="B12" s="1010" t="s">
        <v>361</v>
      </c>
      <c r="C12" s="1011">
        <v>0</v>
      </c>
      <c r="D12" s="510" t="s">
        <v>287</v>
      </c>
      <c r="E12" s="364" t="s">
        <v>255</v>
      </c>
      <c r="F12" s="1335" t="s">
        <v>597</v>
      </c>
    </row>
    <row r="13" spans="2:6">
      <c r="B13" s="1012" t="s">
        <v>362</v>
      </c>
      <c r="C13" s="1013">
        <v>0</v>
      </c>
      <c r="D13" s="511" t="s">
        <v>287</v>
      </c>
      <c r="E13" s="369" t="s">
        <v>255</v>
      </c>
      <c r="F13" s="1336"/>
    </row>
    <row r="14" spans="2:6">
      <c r="B14" s="1014" t="s">
        <v>466</v>
      </c>
      <c r="C14" s="1015">
        <v>1</v>
      </c>
      <c r="D14" s="367" t="s">
        <v>287</v>
      </c>
      <c r="E14" s="366" t="s">
        <v>255</v>
      </c>
      <c r="F14" s="1336"/>
    </row>
    <row r="15" spans="2:6" ht="12" thickBot="1">
      <c r="B15" s="1016" t="s">
        <v>984</v>
      </c>
      <c r="C15" s="1017">
        <v>0</v>
      </c>
      <c r="D15" s="521" t="s">
        <v>287</v>
      </c>
      <c r="E15" s="371" t="s">
        <v>255</v>
      </c>
      <c r="F15" s="1337"/>
    </row>
    <row r="16" spans="2:6" ht="12" thickBot="1">
      <c r="B16" s="1256"/>
      <c r="C16" s="1256"/>
      <c r="D16" s="1256"/>
      <c r="E16" s="1256"/>
      <c r="F16" s="945"/>
    </row>
    <row r="17" spans="2:6" ht="13.5" thickBot="1">
      <c r="B17" s="1028" t="s">
        <v>5</v>
      </c>
      <c r="C17" s="1027" t="s">
        <v>0</v>
      </c>
      <c r="D17" s="970" t="s">
        <v>4</v>
      </c>
      <c r="E17" s="971" t="s">
        <v>8</v>
      </c>
      <c r="F17" s="972"/>
    </row>
    <row r="18" spans="2:6">
      <c r="B18" s="1018" t="s">
        <v>985</v>
      </c>
      <c r="C18" s="974">
        <f>C14*(C6+C7)*C8</f>
        <v>3</v>
      </c>
      <c r="D18" s="458"/>
      <c r="E18" s="1004">
        <f t="shared" ref="E18:E53" si="0">D18*C18</f>
        <v>0</v>
      </c>
      <c r="F18" s="975"/>
    </row>
    <row r="19" spans="2:6">
      <c r="B19" s="341" t="s">
        <v>117</v>
      </c>
      <c r="C19" s="1019">
        <f>(C12+C13)*2*(C6+C7)*C8</f>
        <v>0</v>
      </c>
      <c r="D19" s="616"/>
      <c r="E19" s="1004">
        <f t="shared" si="0"/>
        <v>0</v>
      </c>
      <c r="F19" s="975"/>
    </row>
    <row r="20" spans="2:6">
      <c r="B20" s="341" t="s">
        <v>986</v>
      </c>
      <c r="C20" s="976">
        <f>C15*(C6+C7)*C8</f>
        <v>0</v>
      </c>
      <c r="D20" s="551"/>
      <c r="E20" s="1004">
        <f t="shared" si="0"/>
        <v>0</v>
      </c>
      <c r="F20" s="975"/>
    </row>
    <row r="21" spans="2:6">
      <c r="B21" s="346" t="s">
        <v>962</v>
      </c>
      <c r="C21" s="977">
        <f>IF(AND(C6+C7&gt;0,C4&lt;=1),(C8)*2,IF(AND(C6+C7&gt;0,C4&lt;=1.5),(C8)*3,IF(AND(C6+C7&gt;0,C4&lt;=2),(C8)*4,IF(AND(C6+C7&gt;0,C4&lt;=2.5),(C8)*5,IF(AND(C6+C7&gt;0,C4&lt;=3),(C8)*6,IF(AND(C6+C7&gt;0,C4&lt;=3.5),(C8)*7,IF(AND(C6+C7&gt;0,C4&lt;=4),(C8)*8,IF(AND(C6+C7&gt;0,C4&lt;=4.5),(C8)*9,IF(AND(C6+C7&gt;0,C4&lt;=5),(C8)*9,IF(AND(C6+C7&gt;0,C4&lt;=5.5),(C8)*10,IF(AND(C6+C7&gt;0,C4&lt;=6),(C8)*11,0)))))))))))</f>
        <v>8</v>
      </c>
      <c r="D21" s="551"/>
      <c r="E21" s="1004">
        <f t="shared" si="0"/>
        <v>0</v>
      </c>
      <c r="F21" s="975"/>
    </row>
    <row r="22" spans="2:6">
      <c r="B22" s="346" t="s">
        <v>963</v>
      </c>
      <c r="C22" s="977">
        <f>IF(AND(C6+C7&gt;0,C4&lt;=1,C9=1),(C8)*2,IF(AND(C6+C7&gt;0,C4&lt;=1.5,C9=1),(C8)*3,IF(AND(C6+C7&gt;0,C4&lt;=2,C9=1),(C8)*4,IF(AND(C6+C7&gt;0,C4&lt;=2.5,C9=1),(C8)*5,IF(AND(C6+C7&gt;0,C4&lt;=3,C9=1),(C8)*6,IF(AND(C6+C7&gt;0,C4&lt;=3.5,C9=1),(C8)*7,IF(AND(C6+C7&gt;0,C4&lt;=4,C9=1),(C8)*8,IF(AND(C6+C7&gt;0,C4&lt;=4.5,C9=1),(C8)*9,IF(AND(C6+C7&gt;0,C4&lt;=5,C9=1),(C8)*9,IF(AND(C6+C7&gt;0,C4&lt;=5.5,C9=1),(C8)*10,IF(AND(C6+C7&gt;0,C4&lt;=6,C9=1),(C8)*11,0)))))))))))</f>
        <v>8</v>
      </c>
      <c r="D22" s="551"/>
      <c r="E22" s="1004">
        <f t="shared" si="0"/>
        <v>0</v>
      </c>
      <c r="F22" s="975"/>
    </row>
    <row r="23" spans="2:6">
      <c r="B23" s="346" t="s">
        <v>964</v>
      </c>
      <c r="C23" s="977">
        <f>IF(C4&gt;0,(C8),0)</f>
        <v>1</v>
      </c>
      <c r="D23" s="551"/>
      <c r="E23" s="1004">
        <f t="shared" si="0"/>
        <v>0</v>
      </c>
      <c r="F23" s="975"/>
    </row>
    <row r="24" spans="2:6">
      <c r="B24" s="346" t="s">
        <v>965</v>
      </c>
      <c r="C24" s="977">
        <f>IF(C4&gt;0,(C8),0)</f>
        <v>1</v>
      </c>
      <c r="D24" s="551"/>
      <c r="E24" s="1004">
        <f t="shared" si="0"/>
        <v>0</v>
      </c>
      <c r="F24" s="975"/>
    </row>
    <row r="25" spans="2:6">
      <c r="B25" s="346" t="s">
        <v>981</v>
      </c>
      <c r="C25" s="977">
        <f>(C6-1)*C8*2</f>
        <v>4</v>
      </c>
      <c r="D25" s="551"/>
      <c r="E25" s="1004">
        <f t="shared" si="0"/>
        <v>0</v>
      </c>
      <c r="F25" s="975"/>
    </row>
    <row r="26" spans="2:6">
      <c r="B26" s="346" t="s">
        <v>982</v>
      </c>
      <c r="C26" s="977">
        <f>(C7-1)*C8*2</f>
        <v>-2</v>
      </c>
      <c r="D26" s="551"/>
      <c r="E26" s="1004">
        <f t="shared" si="0"/>
        <v>0</v>
      </c>
      <c r="F26" s="975"/>
    </row>
    <row r="27" spans="2:6">
      <c r="B27" s="346" t="s">
        <v>972</v>
      </c>
      <c r="C27" s="977">
        <f>(C6+C7-1)*C8</f>
        <v>2</v>
      </c>
      <c r="D27" s="551"/>
      <c r="E27" s="1004">
        <f t="shared" si="0"/>
        <v>0</v>
      </c>
      <c r="F27" s="975"/>
    </row>
    <row r="28" spans="2:6">
      <c r="B28" s="346" t="s">
        <v>983</v>
      </c>
      <c r="C28" s="977">
        <f>(C6+C7-1)*C8</f>
        <v>2</v>
      </c>
      <c r="D28" s="551"/>
      <c r="E28" s="1004">
        <f t="shared" si="0"/>
        <v>0</v>
      </c>
      <c r="F28" s="975"/>
    </row>
    <row r="29" spans="2:6">
      <c r="B29" s="341" t="s">
        <v>966</v>
      </c>
      <c r="C29" s="978">
        <f>C8</f>
        <v>1</v>
      </c>
      <c r="D29" s="551"/>
      <c r="E29" s="1004">
        <f t="shared" si="0"/>
        <v>0</v>
      </c>
      <c r="F29" s="975"/>
    </row>
    <row r="30" spans="2:6">
      <c r="B30" s="346" t="s">
        <v>119</v>
      </c>
      <c r="C30" s="976">
        <f>IF(C7&gt;0,C4*C8+(C4+C12*C8),0)</f>
        <v>0</v>
      </c>
      <c r="D30" s="551"/>
      <c r="E30" s="1004">
        <f t="shared" si="0"/>
        <v>0</v>
      </c>
      <c r="F30" s="975"/>
    </row>
    <row r="31" spans="2:6">
      <c r="B31" s="341" t="s">
        <v>987</v>
      </c>
      <c r="C31" s="976">
        <f>C13*C4*C8*2</f>
        <v>0</v>
      </c>
      <c r="D31" s="551"/>
      <c r="E31" s="1004">
        <f t="shared" si="0"/>
        <v>0</v>
      </c>
      <c r="F31" s="975"/>
    </row>
    <row r="32" spans="2:6">
      <c r="B32" s="346" t="s">
        <v>988</v>
      </c>
      <c r="C32" s="976">
        <f>C14*C4*C8</f>
        <v>4</v>
      </c>
      <c r="D32" s="551"/>
      <c r="E32" s="1004">
        <f t="shared" si="0"/>
        <v>0</v>
      </c>
      <c r="F32" s="975"/>
    </row>
    <row r="33" spans="2:6">
      <c r="B33" s="346" t="s">
        <v>945</v>
      </c>
      <c r="C33" s="976">
        <f>C4*C8+(C4*C8*C15)</f>
        <v>4</v>
      </c>
      <c r="D33" s="551"/>
      <c r="E33" s="1004">
        <f t="shared" si="0"/>
        <v>0</v>
      </c>
      <c r="F33" s="975"/>
    </row>
    <row r="34" spans="2:6">
      <c r="B34" s="341" t="s">
        <v>946</v>
      </c>
      <c r="C34" s="976">
        <f>IF(C6&gt;0,C4*C8,0)</f>
        <v>4</v>
      </c>
      <c r="D34" s="551"/>
      <c r="E34" s="1004">
        <f t="shared" si="0"/>
        <v>0</v>
      </c>
      <c r="F34" s="975"/>
    </row>
    <row r="35" spans="2:6">
      <c r="B35" s="341" t="s">
        <v>947</v>
      </c>
      <c r="C35" s="977">
        <f>IF(C6&gt;0,C4*C8,0)</f>
        <v>4</v>
      </c>
      <c r="D35" s="551"/>
      <c r="E35" s="1004">
        <f t="shared" si="0"/>
        <v>0</v>
      </c>
      <c r="F35" s="975"/>
    </row>
    <row r="36" spans="2:6">
      <c r="B36" s="341" t="s">
        <v>948</v>
      </c>
      <c r="C36" s="976">
        <f>IF(C7&gt;0,C4*C8,0)</f>
        <v>0</v>
      </c>
      <c r="D36" s="551"/>
      <c r="E36" s="1004">
        <f t="shared" si="0"/>
        <v>0</v>
      </c>
      <c r="F36" s="975"/>
    </row>
    <row r="37" spans="2:6">
      <c r="B37" s="346" t="s">
        <v>953</v>
      </c>
      <c r="C37" s="347">
        <f>IF(C12&gt;0,C12,0)</f>
        <v>0</v>
      </c>
      <c r="D37" s="551"/>
      <c r="E37" s="1004">
        <f t="shared" si="0"/>
        <v>0</v>
      </c>
      <c r="F37" s="975"/>
    </row>
    <row r="38" spans="2:6">
      <c r="B38" s="346" t="s">
        <v>954</v>
      </c>
      <c r="C38" s="347">
        <f>IF(C11&gt;0,C11,0)</f>
        <v>1</v>
      </c>
      <c r="D38" s="551"/>
      <c r="E38" s="1004">
        <f t="shared" si="0"/>
        <v>0</v>
      </c>
      <c r="F38" s="975"/>
    </row>
    <row r="39" spans="2:6">
      <c r="B39" s="346" t="s">
        <v>956</v>
      </c>
      <c r="C39" s="347">
        <f>C11+C12</f>
        <v>1</v>
      </c>
      <c r="D39" s="551"/>
      <c r="E39" s="1004">
        <f t="shared" si="0"/>
        <v>0</v>
      </c>
      <c r="F39" s="975"/>
    </row>
    <row r="40" spans="2:6">
      <c r="B40" s="346" t="s">
        <v>955</v>
      </c>
      <c r="C40" s="347">
        <f>IF(C12&gt;0,C12,0)</f>
        <v>0</v>
      </c>
      <c r="D40" s="551"/>
      <c r="E40" s="1004">
        <f t="shared" si="0"/>
        <v>0</v>
      </c>
      <c r="F40" s="975"/>
    </row>
    <row r="41" spans="2:6" ht="12.75">
      <c r="B41" s="990" t="s">
        <v>145</v>
      </c>
      <c r="C41" s="347">
        <f>C11</f>
        <v>1</v>
      </c>
      <c r="D41" s="551"/>
      <c r="E41" s="1004">
        <f t="shared" si="0"/>
        <v>0</v>
      </c>
      <c r="F41" s="975"/>
    </row>
    <row r="42" spans="2:6">
      <c r="B42" s="341" t="s">
        <v>967</v>
      </c>
      <c r="C42" s="976">
        <f>C8*C4</f>
        <v>4</v>
      </c>
      <c r="D42" s="551"/>
      <c r="E42" s="1004">
        <f t="shared" si="0"/>
        <v>0</v>
      </c>
      <c r="F42" s="975"/>
    </row>
    <row r="43" spans="2:6">
      <c r="B43" s="341" t="s">
        <v>968</v>
      </c>
      <c r="C43" s="976">
        <f>C8*C4</f>
        <v>4</v>
      </c>
      <c r="D43" s="551"/>
      <c r="E43" s="1004">
        <f t="shared" si="0"/>
        <v>0</v>
      </c>
      <c r="F43" s="975"/>
    </row>
    <row r="44" spans="2:6">
      <c r="B44" s="341" t="s">
        <v>950</v>
      </c>
      <c r="C44" s="976">
        <f>IF(C6&gt;0,C4*C8,0)</f>
        <v>4</v>
      </c>
      <c r="D44" s="551"/>
      <c r="E44" s="1004">
        <f t="shared" si="0"/>
        <v>0</v>
      </c>
      <c r="F44" s="975"/>
    </row>
    <row r="45" spans="2:6">
      <c r="B45" s="346" t="s">
        <v>951</v>
      </c>
      <c r="C45" s="977">
        <f>IF(C7&gt;0,C4*C8,0)</f>
        <v>0</v>
      </c>
      <c r="D45" s="551"/>
      <c r="E45" s="1004">
        <f t="shared" si="0"/>
        <v>0</v>
      </c>
      <c r="F45" s="975"/>
    </row>
    <row r="46" spans="2:6">
      <c r="B46" s="346" t="s">
        <v>893</v>
      </c>
      <c r="C46" s="977">
        <f>(C6+C7-1)*2*C8</f>
        <v>4</v>
      </c>
      <c r="D46" s="551"/>
      <c r="E46" s="1004">
        <f t="shared" si="0"/>
        <v>0</v>
      </c>
      <c r="F46" s="975"/>
    </row>
    <row r="47" spans="2:6">
      <c r="B47" s="346" t="s">
        <v>789</v>
      </c>
      <c r="C47" s="977">
        <f>C8*8</f>
        <v>8</v>
      </c>
      <c r="D47" s="551"/>
      <c r="E47" s="1004">
        <f t="shared" si="0"/>
        <v>0</v>
      </c>
      <c r="F47" s="975"/>
    </row>
    <row r="48" spans="2:6">
      <c r="B48" s="346" t="s">
        <v>969</v>
      </c>
      <c r="C48" s="977">
        <f>C10*C8</f>
        <v>2</v>
      </c>
      <c r="D48" s="551"/>
      <c r="E48" s="1004">
        <f t="shared" si="0"/>
        <v>0</v>
      </c>
      <c r="F48" s="975"/>
    </row>
    <row r="49" spans="2:6">
      <c r="B49" s="346" t="s">
        <v>989</v>
      </c>
      <c r="C49" s="977">
        <f>C4*C8*C14</f>
        <v>4</v>
      </c>
      <c r="D49" s="551"/>
      <c r="E49" s="1004">
        <f t="shared" si="0"/>
        <v>0</v>
      </c>
      <c r="F49" s="975"/>
    </row>
    <row r="50" spans="2:6">
      <c r="B50" s="346" t="s">
        <v>364</v>
      </c>
      <c r="C50" s="977">
        <f>C4*C8*C12</f>
        <v>0</v>
      </c>
      <c r="D50" s="551"/>
      <c r="E50" s="1004">
        <f t="shared" si="0"/>
        <v>0</v>
      </c>
      <c r="F50" s="975"/>
    </row>
    <row r="51" spans="2:6">
      <c r="B51" s="346" t="s">
        <v>365</v>
      </c>
      <c r="C51" s="977">
        <f>C4*C8*C13</f>
        <v>0</v>
      </c>
      <c r="D51" s="551"/>
      <c r="E51" s="1004">
        <f t="shared" si="0"/>
        <v>0</v>
      </c>
      <c r="F51" s="975"/>
    </row>
    <row r="52" spans="2:6">
      <c r="B52" s="346" t="s">
        <v>990</v>
      </c>
      <c r="C52" s="977">
        <f>C4*C8*C15</f>
        <v>0</v>
      </c>
      <c r="D52" s="551"/>
      <c r="E52" s="1004">
        <f t="shared" si="0"/>
        <v>0</v>
      </c>
    </row>
    <row r="53" spans="2:6" ht="12" thickBot="1">
      <c r="B53" s="979" t="s">
        <v>952</v>
      </c>
      <c r="C53" s="980">
        <f>IF(C6&gt;1,C8,0)</f>
        <v>1</v>
      </c>
      <c r="D53" s="590"/>
      <c r="E53" s="1004">
        <f t="shared" si="0"/>
        <v>0</v>
      </c>
    </row>
    <row r="54" spans="2:6" ht="13.5" thickBot="1">
      <c r="B54" s="316"/>
      <c r="C54" s="316"/>
      <c r="D54" s="384" t="s">
        <v>9</v>
      </c>
      <c r="E54" s="981">
        <f>SUMIF(E18:E53,"&gt;0",E18:E53)</f>
        <v>0</v>
      </c>
    </row>
    <row r="57" spans="2:6" ht="15.75" thickBot="1">
      <c r="B57" s="986" t="s">
        <v>957</v>
      </c>
    </row>
    <row r="58" spans="2:6" ht="12.75">
      <c r="B58" s="571" t="s">
        <v>489</v>
      </c>
      <c r="C58" s="997">
        <f>IF(C10=1,C8,0)</f>
        <v>0</v>
      </c>
      <c r="D58" s="982"/>
      <c r="E58" s="574">
        <f t="shared" ref="E58:E63" si="1">C58*D58</f>
        <v>0</v>
      </c>
    </row>
    <row r="59" spans="2:6" ht="12.75">
      <c r="B59" s="418" t="s">
        <v>486</v>
      </c>
      <c r="C59" s="998">
        <f>IF(C10=6,C8,0)</f>
        <v>0</v>
      </c>
      <c r="D59" s="611"/>
      <c r="E59" s="323">
        <f t="shared" si="1"/>
        <v>0</v>
      </c>
    </row>
    <row r="60" spans="2:6" ht="12.75">
      <c r="B60" s="418" t="s">
        <v>591</v>
      </c>
      <c r="C60" s="998">
        <f>IF(C10=5,C8,0)</f>
        <v>0</v>
      </c>
      <c r="D60" s="611"/>
      <c r="E60" s="323">
        <f t="shared" si="1"/>
        <v>0</v>
      </c>
    </row>
    <row r="61" spans="2:6" ht="12.75">
      <c r="B61" s="418" t="s">
        <v>487</v>
      </c>
      <c r="C61" s="998">
        <f>IF(C10=2,C8,0)</f>
        <v>1</v>
      </c>
      <c r="D61" s="611"/>
      <c r="E61" s="323">
        <f t="shared" si="1"/>
        <v>0</v>
      </c>
    </row>
    <row r="62" spans="2:6" ht="12.75">
      <c r="B62" s="418" t="s">
        <v>488</v>
      </c>
      <c r="C62" s="998">
        <f>IF(C10=3,C8,0)</f>
        <v>0</v>
      </c>
      <c r="D62" s="611"/>
      <c r="E62" s="323">
        <f t="shared" si="1"/>
        <v>0</v>
      </c>
    </row>
    <row r="63" spans="2:6" ht="13.5" thickBot="1">
      <c r="B63" s="983" t="s">
        <v>494</v>
      </c>
      <c r="C63" s="999">
        <f>IF(C10=4,C8,0)</f>
        <v>0</v>
      </c>
      <c r="D63" s="984"/>
      <c r="E63" s="333">
        <f t="shared" si="1"/>
        <v>0</v>
      </c>
    </row>
    <row r="64" spans="2:6" ht="13.5" thickBot="1">
      <c r="D64" s="985" t="s">
        <v>9</v>
      </c>
      <c r="E64" s="991">
        <f>SUMIF(E58:E63,"&gt;0",E58:E63)</f>
        <v>0</v>
      </c>
    </row>
  </sheetData>
  <sheetProtection algorithmName="SHA-512" hashValue="8VOshIoh08LTwUgWKqxY9aDRTAoiFzRPrskDfUPgObEtC7minA/M2++0c9oph9vsXwCjqLfElYK/hPu4d7k5rw==" saltValue="ZCuRrvbFLM6HbWAKbiM1Vw==" spinCount="100000" sheet="1" objects="1" scenarios="1"/>
  <mergeCells count="8">
    <mergeCell ref="B16:E16"/>
    <mergeCell ref="D10:F10"/>
    <mergeCell ref="D11:E11"/>
    <mergeCell ref="B3:E3"/>
    <mergeCell ref="D4:F5"/>
    <mergeCell ref="D6:F7"/>
    <mergeCell ref="D8:F8"/>
    <mergeCell ref="F12:F15"/>
  </mergeCells>
  <conditionalFormatting sqref="C53:E53 E18:E20 E49:E52 C21:E36 C42:E48">
    <cfRule type="cellIs" dxfId="49" priority="27" operator="greaterThan">
      <formula>0</formula>
    </cfRule>
  </conditionalFormatting>
  <conditionalFormatting sqref="E54">
    <cfRule type="cellIs" dxfId="48" priority="26" operator="greaterThan">
      <formula>0</formula>
    </cfRule>
  </conditionalFormatting>
  <conditionalFormatting sqref="C18:E20">
    <cfRule type="cellIs" dxfId="47" priority="25" operator="greaterThan">
      <formula>0</formula>
    </cfRule>
  </conditionalFormatting>
  <conditionalFormatting sqref="C49:E52">
    <cfRule type="cellIs" dxfId="46" priority="24" operator="greaterThan">
      <formula>0</formula>
    </cfRule>
  </conditionalFormatting>
  <conditionalFormatting sqref="D58:D63">
    <cfRule type="cellIs" dxfId="45" priority="15" operator="greaterThan">
      <formula>0</formula>
    </cfRule>
    <cfRule type="cellIs" dxfId="44" priority="16" operator="greaterThan">
      <formula>0</formula>
    </cfRule>
  </conditionalFormatting>
  <conditionalFormatting sqref="C58:C59 C61:C63">
    <cfRule type="cellIs" dxfId="43" priority="21" operator="equal">
      <formula>"ДА"</formula>
    </cfRule>
    <cfRule type="cellIs" dxfId="42" priority="22" operator="equal">
      <formula>"НЕТ"</formula>
    </cfRule>
  </conditionalFormatting>
  <conditionalFormatting sqref="C58:C59 C61:C63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60">
    <cfRule type="cellIs" dxfId="41" priority="18" operator="equal">
      <formula>"ДА"</formula>
    </cfRule>
    <cfRule type="cellIs" dxfId="40" priority="19" operator="equal">
      <formula>"НЕТ"</formula>
    </cfRule>
  </conditionalFormatting>
  <conditionalFormatting sqref="C60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8:E63">
    <cfRule type="cellIs" dxfId="39" priority="17" operator="greaterThan">
      <formula>0</formula>
    </cfRule>
  </conditionalFormatting>
  <conditionalFormatting sqref="C58:C63">
    <cfRule type="cellIs" dxfId="38" priority="13" operator="equal">
      <formula>"НЕТ"</formula>
    </cfRule>
    <cfRule type="cellIs" dxfId="37" priority="14" operator="equal">
      <formula>"ДА"</formula>
    </cfRule>
  </conditionalFormatting>
  <conditionalFormatting sqref="C58:C63">
    <cfRule type="cellIs" dxfId="36" priority="12" operator="equal">
      <formula>"ДА"</formula>
    </cfRule>
  </conditionalFormatting>
  <conditionalFormatting sqref="C60">
    <cfRule type="cellIs" dxfId="35" priority="9" operator="equal">
      <formula>"ДА"</formula>
    </cfRule>
    <cfRule type="cellIs" dxfId="34" priority="10" operator="equal">
      <formula>"НЕТ"</formula>
    </cfRule>
  </conditionalFormatting>
  <conditionalFormatting sqref="C60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8:E63">
    <cfRule type="cellIs" dxfId="33" priority="3" operator="greaterThan">
      <formula>0</formula>
    </cfRule>
    <cfRule type="cellIs" dxfId="32" priority="4" operator="greaterThan">
      <formula>0</formula>
    </cfRule>
    <cfRule type="cellIs" dxfId="31" priority="8" operator="greaterThan">
      <formula>0</formula>
    </cfRule>
  </conditionalFormatting>
  <conditionalFormatting sqref="C60">
    <cfRule type="cellIs" dxfId="30" priority="5" operator="equal">
      <formula>"ДА"</formula>
    </cfRule>
    <cfRule type="cellIs" dxfId="29" priority="6" operator="equal">
      <formula>"НЕТ"</formula>
    </cfRule>
  </conditionalFormatting>
  <conditionalFormatting sqref="C60">
    <cfRule type="colorScale" priority="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7:C41">
    <cfRule type="cellIs" dxfId="28" priority="1" operator="greaterThan">
      <formula>0</formula>
    </cfRule>
  </conditionalFormatting>
  <conditionalFormatting sqref="D37:E41">
    <cfRule type="cellIs" dxfId="27" priority="2" operator="greaterThan">
      <formula>0</formula>
    </cfRule>
  </conditionalFormatting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9"/>
  <sheetViews>
    <sheetView workbookViewId="0">
      <selection activeCell="O32" sqref="O32"/>
    </sheetView>
  </sheetViews>
  <sheetFormatPr defaultRowHeight="11.25"/>
  <cols>
    <col min="2" max="2" width="55.83203125" customWidth="1"/>
    <col min="4" max="4" width="13.33203125" customWidth="1"/>
    <col min="5" max="5" width="12.33203125" customWidth="1"/>
    <col min="6" max="6" width="29.1640625" customWidth="1"/>
  </cols>
  <sheetData>
    <row r="3" spans="2:6" ht="27" thickBot="1">
      <c r="B3" s="1161"/>
      <c r="C3" s="1162"/>
      <c r="D3" s="1162"/>
      <c r="E3" s="1162"/>
      <c r="F3" s="944"/>
    </row>
    <row r="4" spans="2:6" ht="11.25" customHeight="1">
      <c r="B4" s="960" t="s">
        <v>10</v>
      </c>
      <c r="C4" s="961">
        <v>2</v>
      </c>
      <c r="D4" s="1314" t="s">
        <v>595</v>
      </c>
      <c r="E4" s="1314"/>
      <c r="F4" s="1315"/>
    </row>
    <row r="5" spans="2:6" ht="12" thickBot="1">
      <c r="B5" s="962" t="s">
        <v>1</v>
      </c>
      <c r="C5" s="963">
        <v>0</v>
      </c>
      <c r="D5" s="1316"/>
      <c r="E5" s="1316"/>
      <c r="F5" s="1317"/>
    </row>
    <row r="6" spans="2:6">
      <c r="B6" s="960" t="s">
        <v>940</v>
      </c>
      <c r="C6" s="964">
        <v>0</v>
      </c>
      <c r="D6" s="1318" t="s">
        <v>597</v>
      </c>
      <c r="E6" s="1318"/>
      <c r="F6" s="1319"/>
    </row>
    <row r="7" spans="2:6" ht="12" thickBot="1">
      <c r="B7" s="962" t="s">
        <v>414</v>
      </c>
      <c r="C7" s="965">
        <v>0</v>
      </c>
      <c r="D7" s="1320"/>
      <c r="E7" s="1320"/>
      <c r="F7" s="1321"/>
    </row>
    <row r="8" spans="2:6" ht="11.25" customHeight="1">
      <c r="B8" s="960" t="s">
        <v>991</v>
      </c>
      <c r="C8" s="964">
        <v>1</v>
      </c>
      <c r="D8" s="1318" t="s">
        <v>597</v>
      </c>
      <c r="E8" s="1318"/>
      <c r="F8" s="1319"/>
    </row>
    <row r="9" spans="2:6" ht="12" thickBot="1">
      <c r="B9" s="962" t="s">
        <v>992</v>
      </c>
      <c r="C9" s="965">
        <v>0</v>
      </c>
      <c r="D9" s="1320"/>
      <c r="E9" s="1320"/>
      <c r="F9" s="1321"/>
    </row>
    <row r="10" spans="2:6" ht="23.25" customHeight="1">
      <c r="B10" s="813" t="s">
        <v>589</v>
      </c>
      <c r="C10" s="830">
        <v>2</v>
      </c>
      <c r="D10" s="1324" t="s">
        <v>958</v>
      </c>
      <c r="E10" s="1325"/>
      <c r="F10" s="1326"/>
    </row>
    <row r="11" spans="2:6" ht="12" thickBot="1">
      <c r="B11" s="814" t="s">
        <v>277</v>
      </c>
      <c r="C11" s="829">
        <v>1</v>
      </c>
      <c r="D11" s="1152" t="s">
        <v>30</v>
      </c>
      <c r="E11" s="1153"/>
      <c r="F11" s="967"/>
    </row>
    <row r="12" spans="2:6">
      <c r="B12" s="1010" t="s">
        <v>361</v>
      </c>
      <c r="C12" s="1011">
        <v>0</v>
      </c>
      <c r="D12" s="510" t="s">
        <v>287</v>
      </c>
      <c r="E12" s="364" t="s">
        <v>255</v>
      </c>
      <c r="F12" s="1335" t="s">
        <v>597</v>
      </c>
    </row>
    <row r="13" spans="2:6" ht="11.25" customHeight="1">
      <c r="B13" s="1012" t="s">
        <v>362</v>
      </c>
      <c r="C13" s="1013">
        <v>0</v>
      </c>
      <c r="D13" s="511" t="s">
        <v>287</v>
      </c>
      <c r="E13" s="369" t="s">
        <v>255</v>
      </c>
      <c r="F13" s="1336"/>
    </row>
    <row r="14" spans="2:6">
      <c r="B14" s="1014" t="s">
        <v>466</v>
      </c>
      <c r="C14" s="1015">
        <v>1</v>
      </c>
      <c r="D14" s="367" t="s">
        <v>287</v>
      </c>
      <c r="E14" s="366" t="s">
        <v>255</v>
      </c>
      <c r="F14" s="1336"/>
    </row>
    <row r="15" spans="2:6" ht="12" thickBot="1">
      <c r="B15" s="1016" t="s">
        <v>984</v>
      </c>
      <c r="C15" s="1017">
        <v>0</v>
      </c>
      <c r="D15" s="521" t="s">
        <v>287</v>
      </c>
      <c r="E15" s="371" t="s">
        <v>255</v>
      </c>
      <c r="F15" s="1337"/>
    </row>
    <row r="16" spans="2:6" ht="12" thickBot="1">
      <c r="B16" s="1256"/>
      <c r="C16" s="1256"/>
      <c r="D16" s="1256"/>
      <c r="E16" s="1256"/>
      <c r="F16" s="945"/>
    </row>
    <row r="17" spans="2:6" ht="13.5" thickBot="1">
      <c r="B17" s="968" t="s">
        <v>5</v>
      </c>
      <c r="C17" s="969" t="s">
        <v>0</v>
      </c>
      <c r="D17" s="970" t="s">
        <v>4</v>
      </c>
      <c r="E17" s="971" t="s">
        <v>8</v>
      </c>
      <c r="F17" s="972"/>
    </row>
    <row r="18" spans="2:6">
      <c r="B18" s="1018" t="s">
        <v>985</v>
      </c>
      <c r="C18" s="974">
        <f>C14*(C6+C7+C8+C9)</f>
        <v>1</v>
      </c>
      <c r="D18" s="458"/>
      <c r="E18" s="1004">
        <f t="shared" ref="E18:E48" si="0">D18*C18</f>
        <v>0</v>
      </c>
      <c r="F18" s="975"/>
    </row>
    <row r="19" spans="2:6">
      <c r="B19" s="341" t="s">
        <v>117</v>
      </c>
      <c r="C19" s="1019">
        <f>(C12+C13)*(C6+C7+C8+C9)*2</f>
        <v>0</v>
      </c>
      <c r="D19" s="616"/>
      <c r="E19" s="1004">
        <f t="shared" si="0"/>
        <v>0</v>
      </c>
      <c r="F19" s="975"/>
    </row>
    <row r="20" spans="2:6">
      <c r="B20" s="341" t="s">
        <v>986</v>
      </c>
      <c r="C20" s="976">
        <f>C15*(C6+C7+C8+C9)</f>
        <v>0</v>
      </c>
      <c r="D20" s="551"/>
      <c r="E20" s="1004">
        <f t="shared" si="0"/>
        <v>0</v>
      </c>
      <c r="F20" s="975"/>
    </row>
    <row r="21" spans="2:6">
      <c r="B21" s="346" t="s">
        <v>941</v>
      </c>
      <c r="C21" s="977">
        <f>IF(AND(C8+C9&gt;0,C4&lt;=1),(C8+C9)*2,IF(AND(C8+C9&gt;0,C4&lt;=1.5),(C8+C9)*3,IF(AND(C8+C9&gt;0,C4&lt;=2),(C8+C9)*4,IF(AND(C8+C9&gt;0,C4&lt;=2.5),(C8+C9)*5,IF(AND(C8+C9&gt;0,C4&lt;=3),(C8+C9)*6,0)))))</f>
        <v>4</v>
      </c>
      <c r="D21" s="551"/>
      <c r="E21" s="1004">
        <f t="shared" si="0"/>
        <v>0</v>
      </c>
      <c r="F21" s="975"/>
    </row>
    <row r="22" spans="2:6">
      <c r="B22" s="346" t="s">
        <v>942</v>
      </c>
      <c r="C22" s="977">
        <f>IF(C4&gt;0,(C8+C9),0)</f>
        <v>1</v>
      </c>
      <c r="D22" s="551"/>
      <c r="E22" s="1004">
        <f t="shared" si="0"/>
        <v>0</v>
      </c>
      <c r="F22" s="975"/>
    </row>
    <row r="23" spans="2:6">
      <c r="B23" s="346" t="s">
        <v>943</v>
      </c>
      <c r="C23" s="978">
        <f>C8+C9</f>
        <v>1</v>
      </c>
      <c r="D23" s="551"/>
      <c r="E23" s="1004">
        <f t="shared" si="0"/>
        <v>0</v>
      </c>
      <c r="F23" s="975"/>
    </row>
    <row r="24" spans="2:6">
      <c r="B24" s="346" t="s">
        <v>964</v>
      </c>
      <c r="C24" s="977">
        <f>IF(C4&gt;0,(C6+C7),0)</f>
        <v>0</v>
      </c>
      <c r="D24" s="551"/>
      <c r="E24" s="1004">
        <f t="shared" si="0"/>
        <v>0</v>
      </c>
      <c r="F24" s="975"/>
    </row>
    <row r="25" spans="2:6">
      <c r="B25" s="346" t="s">
        <v>965</v>
      </c>
      <c r="C25" s="978">
        <f>(C6+C7)</f>
        <v>0</v>
      </c>
      <c r="D25" s="551"/>
      <c r="E25" s="1004">
        <f t="shared" si="0"/>
        <v>0</v>
      </c>
      <c r="F25" s="975"/>
    </row>
    <row r="26" spans="2:6">
      <c r="B26" s="341" t="s">
        <v>993</v>
      </c>
      <c r="C26" s="978">
        <f>C6+C7</f>
        <v>0</v>
      </c>
      <c r="D26" s="551"/>
      <c r="E26" s="1004">
        <f t="shared" si="0"/>
        <v>0</v>
      </c>
      <c r="F26" s="975"/>
    </row>
    <row r="27" spans="2:6">
      <c r="B27" s="341" t="s">
        <v>944</v>
      </c>
      <c r="C27" s="977">
        <f>(C8+C9)*2</f>
        <v>2</v>
      </c>
      <c r="D27" s="551"/>
      <c r="E27" s="1004">
        <f t="shared" si="0"/>
        <v>0</v>
      </c>
      <c r="F27" s="975"/>
    </row>
    <row r="28" spans="2:6">
      <c r="B28" s="341" t="s">
        <v>987</v>
      </c>
      <c r="C28" s="976">
        <f>C4*C13*2*(C6+C7+C8+C9)</f>
        <v>0</v>
      </c>
      <c r="D28" s="551"/>
      <c r="E28" s="1004">
        <f t="shared" si="0"/>
        <v>0</v>
      </c>
      <c r="F28" s="975"/>
    </row>
    <row r="29" spans="2:6">
      <c r="B29" s="346" t="s">
        <v>988</v>
      </c>
      <c r="C29" s="976">
        <f>C14*C4*(C6+C7+C8+C9)</f>
        <v>2</v>
      </c>
      <c r="D29" s="551"/>
      <c r="E29" s="1004">
        <f t="shared" si="0"/>
        <v>0</v>
      </c>
      <c r="F29" s="975"/>
    </row>
    <row r="30" spans="2:6">
      <c r="B30" s="346" t="s">
        <v>119</v>
      </c>
      <c r="C30" s="976">
        <f>C4*(C9+C7)+(C12*(C6+C7+C8+C9)*C4)</f>
        <v>0</v>
      </c>
      <c r="D30" s="551"/>
      <c r="E30" s="1004">
        <f t="shared" si="0"/>
        <v>0</v>
      </c>
      <c r="F30" s="975"/>
    </row>
    <row r="31" spans="2:6">
      <c r="B31" s="346" t="s">
        <v>945</v>
      </c>
      <c r="C31" s="976">
        <f>C4*C15*(C6+C7+C8+C9)</f>
        <v>0</v>
      </c>
      <c r="D31" s="551"/>
      <c r="E31" s="1004">
        <f t="shared" si="0"/>
        <v>0</v>
      </c>
      <c r="F31" s="975"/>
    </row>
    <row r="32" spans="2:6">
      <c r="B32" s="341" t="s">
        <v>946</v>
      </c>
      <c r="C32" s="977">
        <f>C4*(C6+C8)</f>
        <v>2</v>
      </c>
      <c r="D32" s="551"/>
      <c r="E32" s="1004">
        <f t="shared" si="0"/>
        <v>0</v>
      </c>
      <c r="F32" s="975"/>
    </row>
    <row r="33" spans="2:6">
      <c r="B33" s="341" t="s">
        <v>947</v>
      </c>
      <c r="C33" s="976">
        <f>C4*(C6+C8)</f>
        <v>2</v>
      </c>
      <c r="D33" s="551"/>
      <c r="E33" s="1004">
        <f t="shared" si="0"/>
        <v>0</v>
      </c>
      <c r="F33" s="975"/>
    </row>
    <row r="34" spans="2:6">
      <c r="B34" s="341" t="s">
        <v>948</v>
      </c>
      <c r="C34" s="976">
        <f>(C9+C7)*C4</f>
        <v>0</v>
      </c>
      <c r="D34" s="551"/>
      <c r="E34" s="1004">
        <f t="shared" si="0"/>
        <v>0</v>
      </c>
      <c r="F34" s="975"/>
    </row>
    <row r="35" spans="2:6">
      <c r="B35" s="346" t="s">
        <v>953</v>
      </c>
      <c r="C35" s="347">
        <f>IF(C7+C9&gt;0,C7+C9,0)</f>
        <v>0</v>
      </c>
      <c r="D35" s="551"/>
      <c r="E35" s="1004">
        <f t="shared" si="0"/>
        <v>0</v>
      </c>
      <c r="F35" s="975"/>
    </row>
    <row r="36" spans="2:6">
      <c r="B36" s="346" t="s">
        <v>954</v>
      </c>
      <c r="C36" s="347">
        <f>IF(C6+C8&gt;0,C6+C8,0)</f>
        <v>1</v>
      </c>
      <c r="D36" s="551"/>
      <c r="E36" s="1004">
        <f t="shared" si="0"/>
        <v>0</v>
      </c>
      <c r="F36" s="975"/>
    </row>
    <row r="37" spans="2:6">
      <c r="B37" s="346" t="s">
        <v>956</v>
      </c>
      <c r="C37" s="347">
        <f>C6+C7+C8+C9</f>
        <v>1</v>
      </c>
      <c r="D37" s="551"/>
      <c r="E37" s="1004">
        <f t="shared" si="0"/>
        <v>0</v>
      </c>
      <c r="F37" s="975"/>
    </row>
    <row r="38" spans="2:6">
      <c r="B38" s="346" t="s">
        <v>955</v>
      </c>
      <c r="C38" s="347">
        <f>IF(C7+C9&gt;0,C7+C9,0)</f>
        <v>0</v>
      </c>
      <c r="D38" s="551"/>
      <c r="E38" s="1004">
        <f t="shared" si="0"/>
        <v>0</v>
      </c>
      <c r="F38" s="975"/>
    </row>
    <row r="39" spans="2:6" ht="12.75">
      <c r="B39" s="990" t="s">
        <v>145</v>
      </c>
      <c r="C39" s="347">
        <f>C11</f>
        <v>1</v>
      </c>
      <c r="D39" s="551"/>
      <c r="E39" s="1004">
        <f t="shared" si="0"/>
        <v>0</v>
      </c>
      <c r="F39" s="975"/>
    </row>
    <row r="40" spans="2:6">
      <c r="B40" s="341" t="s">
        <v>949</v>
      </c>
      <c r="C40" s="976">
        <f>C4*(C6+C7+C8+C9)</f>
        <v>2</v>
      </c>
      <c r="D40" s="551"/>
      <c r="E40" s="1004">
        <f t="shared" si="0"/>
        <v>0</v>
      </c>
      <c r="F40" s="975"/>
    </row>
    <row r="41" spans="2:6">
      <c r="B41" s="341" t="s">
        <v>950</v>
      </c>
      <c r="C41" s="977">
        <f>C6+C8</f>
        <v>1</v>
      </c>
      <c r="D41" s="551"/>
      <c r="E41" s="1004">
        <f t="shared" si="0"/>
        <v>0</v>
      </c>
      <c r="F41" s="975"/>
    </row>
    <row r="42" spans="2:6">
      <c r="B42" s="346" t="s">
        <v>951</v>
      </c>
      <c r="C42" s="977">
        <f>C7+C9</f>
        <v>0</v>
      </c>
      <c r="D42" s="551"/>
      <c r="E42" s="1004">
        <f t="shared" si="0"/>
        <v>0</v>
      </c>
      <c r="F42" s="975"/>
    </row>
    <row r="43" spans="2:6">
      <c r="B43" s="346" t="s">
        <v>789</v>
      </c>
      <c r="C43" s="977">
        <f>(C6+C7+C8+C9)*4</f>
        <v>4</v>
      </c>
      <c r="D43" s="551"/>
      <c r="E43" s="1004">
        <f t="shared" si="0"/>
        <v>0</v>
      </c>
      <c r="F43" s="975"/>
    </row>
    <row r="44" spans="2:6">
      <c r="B44" s="346" t="s">
        <v>989</v>
      </c>
      <c r="C44" s="977">
        <f>C14*C4*(C6+C7+C8+C9)</f>
        <v>2</v>
      </c>
      <c r="D44" s="551"/>
      <c r="E44" s="1004">
        <f t="shared" si="0"/>
        <v>0</v>
      </c>
      <c r="F44" s="975"/>
    </row>
    <row r="45" spans="2:6">
      <c r="B45" s="346" t="s">
        <v>364</v>
      </c>
      <c r="C45" s="977">
        <f>C12*C4*(C6+C7+C8+C9)</f>
        <v>0</v>
      </c>
      <c r="D45" s="551"/>
      <c r="E45" s="1004">
        <f t="shared" si="0"/>
        <v>0</v>
      </c>
      <c r="F45" s="975"/>
    </row>
    <row r="46" spans="2:6">
      <c r="B46" s="346" t="s">
        <v>365</v>
      </c>
      <c r="C46" s="977">
        <f>C13*C4*(C6+C7+C8+C9)</f>
        <v>0</v>
      </c>
      <c r="D46" s="551"/>
      <c r="E46" s="1004">
        <f t="shared" si="0"/>
        <v>0</v>
      </c>
      <c r="F46" s="975"/>
    </row>
    <row r="47" spans="2:6">
      <c r="B47" s="346" t="s">
        <v>990</v>
      </c>
      <c r="C47" s="977">
        <f>C15*C4*(C6+C7+C8+C9)</f>
        <v>0</v>
      </c>
      <c r="D47" s="551"/>
      <c r="E47" s="1004">
        <f t="shared" si="0"/>
        <v>0</v>
      </c>
      <c r="F47" s="975"/>
    </row>
    <row r="48" spans="2:6" ht="12" thickBot="1">
      <c r="B48" s="979" t="s">
        <v>952</v>
      </c>
      <c r="C48" s="980">
        <f>IF(C6+C8&gt;1,C6+C8,0)</f>
        <v>0</v>
      </c>
      <c r="D48" s="459"/>
      <c r="E48" s="1005">
        <f t="shared" si="0"/>
        <v>0</v>
      </c>
      <c r="F48" s="975"/>
    </row>
    <row r="49" spans="2:6" ht="13.5" thickBot="1">
      <c r="B49" s="316"/>
      <c r="C49" s="316"/>
      <c r="D49" s="384" t="s">
        <v>9</v>
      </c>
      <c r="E49" s="1029">
        <f>SUMIF(E18:E47,"&gt;0",E18:E47)</f>
        <v>0</v>
      </c>
      <c r="F49" s="975"/>
    </row>
    <row r="50" spans="2:6">
      <c r="F50" s="975"/>
    </row>
    <row r="51" spans="2:6">
      <c r="F51" s="975"/>
    </row>
    <row r="52" spans="2:6" ht="15.75" thickBot="1">
      <c r="B52" s="986" t="s">
        <v>957</v>
      </c>
      <c r="F52" s="975"/>
    </row>
    <row r="53" spans="2:6" ht="12.75">
      <c r="B53" s="571" t="s">
        <v>489</v>
      </c>
      <c r="C53" s="997">
        <f>IF(C10=1,C6+C7+C8+C9,0)</f>
        <v>0</v>
      </c>
      <c r="D53" s="982"/>
      <c r="E53" s="574">
        <f t="shared" ref="E53:E58" si="1">C53*D53</f>
        <v>0</v>
      </c>
    </row>
    <row r="54" spans="2:6" ht="12.75">
      <c r="B54" s="418" t="s">
        <v>486</v>
      </c>
      <c r="C54" s="998">
        <f>IF(C10=6,C6+C7+C8+C9,0)</f>
        <v>0</v>
      </c>
      <c r="D54" s="611"/>
      <c r="E54" s="323">
        <f t="shared" si="1"/>
        <v>0</v>
      </c>
    </row>
    <row r="55" spans="2:6" ht="12.75">
      <c r="B55" s="418" t="s">
        <v>591</v>
      </c>
      <c r="C55" s="998">
        <f>IF(C10=5,C6+C7+C8+C9,0)</f>
        <v>0</v>
      </c>
      <c r="D55" s="611"/>
      <c r="E55" s="323">
        <f t="shared" si="1"/>
        <v>0</v>
      </c>
    </row>
    <row r="56" spans="2:6" ht="12.75">
      <c r="B56" s="418" t="s">
        <v>487</v>
      </c>
      <c r="C56" s="998">
        <f>IF(C10=2,C6+C7+C8+C9,0)</f>
        <v>1</v>
      </c>
      <c r="D56" s="611"/>
      <c r="E56" s="323">
        <f t="shared" si="1"/>
        <v>0</v>
      </c>
    </row>
    <row r="57" spans="2:6" ht="12.75">
      <c r="B57" s="418" t="s">
        <v>488</v>
      </c>
      <c r="C57" s="998">
        <f>IF(C10=3,C6+C7+C8+C9,0)</f>
        <v>0</v>
      </c>
      <c r="D57" s="611"/>
      <c r="E57" s="323">
        <f t="shared" si="1"/>
        <v>0</v>
      </c>
    </row>
    <row r="58" spans="2:6" ht="13.5" thickBot="1">
      <c r="B58" s="983" t="s">
        <v>494</v>
      </c>
      <c r="C58" s="999">
        <f>IF(C10=4,C6+C7+C8+C9,0)</f>
        <v>0</v>
      </c>
      <c r="D58" s="984"/>
      <c r="E58" s="333">
        <f t="shared" si="1"/>
        <v>0</v>
      </c>
    </row>
    <row r="59" spans="2:6" ht="13.5" thickBot="1">
      <c r="D59" s="985" t="s">
        <v>9</v>
      </c>
      <c r="E59" s="991">
        <f>SUMIF(E53:E58,"&gt;0",E53:E58)</f>
        <v>0</v>
      </c>
    </row>
  </sheetData>
  <sheetProtection algorithmName="SHA-512" hashValue="k7+vVZblYw0OY0+Wb7l16o/kibzIdSpiL5/GMmjR35hAVRA9Zm1BUcIcjbOC84nJBcY2JUhYaviDTUdReKfXpg==" saltValue="qCAQ72rohCvLZ27kseVJUQ==" spinCount="100000" sheet="1" objects="1" scenarios="1"/>
  <mergeCells count="8">
    <mergeCell ref="B16:E16"/>
    <mergeCell ref="D10:F10"/>
    <mergeCell ref="D11:E11"/>
    <mergeCell ref="B3:E3"/>
    <mergeCell ref="D8:F9"/>
    <mergeCell ref="D4:F5"/>
    <mergeCell ref="D6:F7"/>
    <mergeCell ref="F12:F15"/>
  </mergeCells>
  <conditionalFormatting sqref="C21:E23 D48:E48 C26:E34 C40:E43">
    <cfRule type="cellIs" dxfId="26" priority="31" operator="greaterThan">
      <formula>0</formula>
    </cfRule>
  </conditionalFormatting>
  <conditionalFormatting sqref="E49">
    <cfRule type="cellIs" dxfId="25" priority="30" operator="greaterThan">
      <formula>0</formula>
    </cfRule>
  </conditionalFormatting>
  <conditionalFormatting sqref="E18:E20">
    <cfRule type="cellIs" dxfId="24" priority="29" operator="greaterThan">
      <formula>0</formula>
    </cfRule>
  </conditionalFormatting>
  <conditionalFormatting sqref="C18:E20">
    <cfRule type="cellIs" dxfId="23" priority="28" operator="greaterThan">
      <formula>0</formula>
    </cfRule>
  </conditionalFormatting>
  <conditionalFormatting sqref="C24:E25">
    <cfRule type="cellIs" dxfId="22" priority="27" operator="greaterThan">
      <formula>0</formula>
    </cfRule>
  </conditionalFormatting>
  <conditionalFormatting sqref="E44:E47">
    <cfRule type="cellIs" dxfId="21" priority="26" operator="greaterThan">
      <formula>0</formula>
    </cfRule>
  </conditionalFormatting>
  <conditionalFormatting sqref="C44:E47">
    <cfRule type="cellIs" dxfId="20" priority="25" operator="greaterThan">
      <formula>0</formula>
    </cfRule>
  </conditionalFormatting>
  <conditionalFormatting sqref="C48">
    <cfRule type="cellIs" dxfId="19" priority="24" operator="greaterThan">
      <formula>0</formula>
    </cfRule>
  </conditionalFormatting>
  <conditionalFormatting sqref="C35:C39">
    <cfRule type="cellIs" dxfId="18" priority="22" operator="greaterThan">
      <formula>0</formula>
    </cfRule>
  </conditionalFormatting>
  <conditionalFormatting sqref="D35:E39">
    <cfRule type="cellIs" dxfId="17" priority="23" operator="greaterThan">
      <formula>0</formula>
    </cfRule>
  </conditionalFormatting>
  <conditionalFormatting sqref="D53:D58">
    <cfRule type="cellIs" dxfId="16" priority="13" operator="greaterThan">
      <formula>0</formula>
    </cfRule>
    <cfRule type="cellIs" dxfId="15" priority="14" operator="greaterThan">
      <formula>0</formula>
    </cfRule>
  </conditionalFormatting>
  <conditionalFormatting sqref="C53:C54 C56:C58">
    <cfRule type="cellIs" dxfId="14" priority="19" operator="equal">
      <formula>"ДА"</formula>
    </cfRule>
    <cfRule type="cellIs" dxfId="13" priority="20" operator="equal">
      <formula>"НЕТ"</formula>
    </cfRule>
  </conditionalFormatting>
  <conditionalFormatting sqref="C53:C54 C56:C58">
    <cfRule type="colorScale" priority="2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5">
    <cfRule type="cellIs" dxfId="12" priority="16" operator="equal">
      <formula>"ДА"</formula>
    </cfRule>
    <cfRule type="cellIs" dxfId="11" priority="17" operator="equal">
      <formula>"НЕТ"</formula>
    </cfRule>
  </conditionalFormatting>
  <conditionalFormatting sqref="C55">
    <cfRule type="colorScale" priority="1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E53:E58">
    <cfRule type="cellIs" dxfId="10" priority="15" operator="greaterThan">
      <formula>0</formula>
    </cfRule>
  </conditionalFormatting>
  <conditionalFormatting sqref="C53:C58">
    <cfRule type="cellIs" dxfId="9" priority="11" operator="equal">
      <formula>"НЕТ"</formula>
    </cfRule>
    <cfRule type="cellIs" dxfId="8" priority="12" operator="equal">
      <formula>"ДА"</formula>
    </cfRule>
  </conditionalFormatting>
  <conditionalFormatting sqref="C53:C58">
    <cfRule type="cellIs" dxfId="7" priority="10" operator="equal">
      <formula>"ДА"</formula>
    </cfRule>
  </conditionalFormatting>
  <conditionalFormatting sqref="C55">
    <cfRule type="cellIs" dxfId="6" priority="7" operator="equal">
      <formula>"ДА"</formula>
    </cfRule>
    <cfRule type="cellIs" dxfId="5" priority="8" operator="equal">
      <formula>"НЕТ"</formula>
    </cfRule>
  </conditionalFormatting>
  <conditionalFormatting sqref="C5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D53:E58">
    <cfRule type="cellIs" dxfId="4" priority="1" operator="greaterThan">
      <formula>0</formula>
    </cfRule>
    <cfRule type="cellIs" dxfId="3" priority="2" operator="greaterThan">
      <formula>0</formula>
    </cfRule>
    <cfRule type="cellIs" dxfId="2" priority="6" operator="greaterThan">
      <formula>0</formula>
    </cfRule>
  </conditionalFormatting>
  <conditionalFormatting sqref="C55">
    <cfRule type="cellIs" dxfId="1" priority="3" operator="equal">
      <formula>"ДА"</formula>
    </cfRule>
    <cfRule type="cellIs" dxfId="0" priority="4" operator="equal">
      <formula>"НЕТ"</formula>
    </cfRule>
  </conditionalFormatting>
  <conditionalFormatting sqref="C55">
    <cfRule type="colorScale" priority="5">
      <colorScale>
        <cfvo type="num" val="&quot;НЕТ&quot;"/>
        <cfvo type="num" val="&quot;ДА&quot;"/>
        <color rgb="FFFF0000"/>
        <color rgb="FF00B050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1030" t="s">
        <v>133</v>
      </c>
      <c r="B1" s="1031"/>
      <c r="C1" s="1031"/>
      <c r="D1" s="1031"/>
      <c r="E1" s="1085"/>
    </row>
    <row r="2" spans="1:12" ht="15" thickBot="1">
      <c r="A2" s="1086" t="s">
        <v>3</v>
      </c>
      <c r="B2" s="1087"/>
      <c r="C2" s="1087"/>
      <c r="D2" s="1087"/>
      <c r="E2" s="1088"/>
    </row>
    <row r="3" spans="1:12">
      <c r="A3" s="44" t="s">
        <v>6</v>
      </c>
      <c r="B3" s="870">
        <v>0.6</v>
      </c>
      <c r="C3" s="1089" t="s">
        <v>30</v>
      </c>
      <c r="D3" s="1090"/>
      <c r="E3" s="1033"/>
      <c r="G3" s="1052" t="s">
        <v>122</v>
      </c>
      <c r="H3" s="1053"/>
      <c r="I3" s="1053"/>
      <c r="J3" s="1053"/>
      <c r="K3" s="1053"/>
      <c r="L3" s="1054"/>
    </row>
    <row r="4" spans="1:12" ht="12" thickBot="1">
      <c r="A4" s="45" t="s">
        <v>1</v>
      </c>
      <c r="B4" s="871">
        <v>1.6</v>
      </c>
      <c r="C4" s="1091" t="s">
        <v>30</v>
      </c>
      <c r="D4" s="1092"/>
      <c r="E4" s="1093"/>
      <c r="G4" s="1055"/>
      <c r="H4" s="1056"/>
      <c r="I4" s="1056"/>
      <c r="J4" s="1056"/>
      <c r="K4" s="1056"/>
      <c r="L4" s="1057"/>
    </row>
    <row r="5" spans="1:12">
      <c r="A5" s="45" t="s">
        <v>36</v>
      </c>
      <c r="B5" s="871">
        <v>2</v>
      </c>
      <c r="C5" s="1080" t="s">
        <v>37</v>
      </c>
      <c r="D5" s="1094"/>
      <c r="E5" s="1095"/>
    </row>
    <row r="6" spans="1:12">
      <c r="A6" s="45" t="s">
        <v>31</v>
      </c>
      <c r="B6" s="872">
        <v>1</v>
      </c>
      <c r="C6" s="1080" t="s">
        <v>33</v>
      </c>
      <c r="D6" s="1081"/>
      <c r="E6" s="1082"/>
    </row>
    <row r="7" spans="1:12" ht="12" customHeight="1">
      <c r="A7" s="45" t="s">
        <v>137</v>
      </c>
      <c r="B7" s="872">
        <v>3</v>
      </c>
      <c r="C7" s="1077" t="s">
        <v>582</v>
      </c>
      <c r="D7" s="1083"/>
      <c r="E7" s="1084"/>
    </row>
    <row r="8" spans="1:12" ht="15" customHeight="1">
      <c r="A8" s="45" t="s">
        <v>38</v>
      </c>
      <c r="B8" s="872">
        <v>1</v>
      </c>
      <c r="C8" s="1077" t="s">
        <v>583</v>
      </c>
      <c r="D8" s="1078"/>
      <c r="E8" s="1079"/>
    </row>
    <row r="9" spans="1:12" ht="12.75" customHeight="1">
      <c r="A9" s="48" t="s">
        <v>32</v>
      </c>
      <c r="B9" s="873">
        <v>1</v>
      </c>
      <c r="C9" s="1075" t="s">
        <v>584</v>
      </c>
      <c r="D9" s="1076"/>
      <c r="E9" s="1048"/>
    </row>
    <row r="10" spans="1:12">
      <c r="A10" s="136" t="s">
        <v>53</v>
      </c>
      <c r="B10" s="873">
        <v>10</v>
      </c>
      <c r="C10" s="1072" t="s">
        <v>30</v>
      </c>
      <c r="D10" s="1073"/>
      <c r="E10" s="1074"/>
    </row>
    <row r="11" spans="1:12">
      <c r="A11" s="150" t="s">
        <v>571</v>
      </c>
      <c r="B11" s="873">
        <v>1</v>
      </c>
      <c r="C11" s="1072"/>
      <c r="D11" s="1073"/>
      <c r="E11" s="1074"/>
    </row>
    <row r="12" spans="1:12">
      <c r="A12" s="297" t="s">
        <v>568</v>
      </c>
      <c r="B12" s="873">
        <v>50</v>
      </c>
      <c r="C12" s="1072"/>
      <c r="D12" s="1073"/>
      <c r="E12" s="1074"/>
    </row>
    <row r="13" spans="1:12" ht="12" thickBot="1">
      <c r="A13" s="305" t="s">
        <v>580</v>
      </c>
      <c r="B13" s="874">
        <v>0</v>
      </c>
      <c r="C13" s="1069" t="s">
        <v>33</v>
      </c>
      <c r="D13" s="1070"/>
      <c r="E13" s="1071"/>
    </row>
    <row r="14" spans="1:12" s="304" customFormat="1" ht="12" thickBot="1">
      <c r="A14" s="299"/>
      <c r="B14" s="300"/>
      <c r="C14" s="301"/>
      <c r="D14" s="302"/>
      <c r="E14" s="303"/>
    </row>
    <row r="15" spans="1:12" ht="12.75">
      <c r="A15" s="55" t="s">
        <v>7</v>
      </c>
      <c r="B15" s="298" t="s">
        <v>85</v>
      </c>
      <c r="C15" s="98" t="s">
        <v>0</v>
      </c>
      <c r="D15" s="56" t="s">
        <v>4</v>
      </c>
      <c r="E15" s="57" t="s">
        <v>8</v>
      </c>
    </row>
    <row r="16" spans="1:12">
      <c r="A16" s="23" t="s">
        <v>578</v>
      </c>
      <c r="B16" s="42"/>
      <c r="C16" s="87">
        <f>(IF(B5=2,B3-0.031,B3+0.005))*B10</f>
        <v>5.6899999999999995</v>
      </c>
      <c r="D16" s="832">
        <v>9</v>
      </c>
      <c r="E16" s="58">
        <f t="shared" ref="E16:E33" si="0">C16*D16</f>
        <v>51.209999999999994</v>
      </c>
    </row>
    <row r="17" spans="1:5">
      <c r="A17" s="27" t="s">
        <v>52</v>
      </c>
      <c r="B17" s="42"/>
      <c r="C17" s="87">
        <f>2*B10</f>
        <v>20</v>
      </c>
      <c r="D17" s="832"/>
      <c r="E17" s="58">
        <f t="shared" si="0"/>
        <v>0</v>
      </c>
    </row>
    <row r="18" spans="1:5">
      <c r="A18" s="23" t="s">
        <v>51</v>
      </c>
      <c r="B18" s="42"/>
      <c r="C18" s="87">
        <f>(IF(B5=1,B3,B3-0.036))*B10</f>
        <v>5.64</v>
      </c>
      <c r="D18" s="832"/>
      <c r="E18" s="58">
        <f t="shared" si="0"/>
        <v>0</v>
      </c>
    </row>
    <row r="19" spans="1:5">
      <c r="A19" s="23" t="s">
        <v>50</v>
      </c>
      <c r="B19" s="42"/>
      <c r="C19" s="87">
        <f>C16</f>
        <v>5.6899999999999995</v>
      </c>
      <c r="D19" s="832"/>
      <c r="E19" s="58">
        <f t="shared" si="0"/>
        <v>0</v>
      </c>
    </row>
    <row r="20" spans="1:5">
      <c r="A20" s="23" t="s">
        <v>49</v>
      </c>
      <c r="B20" s="42"/>
      <c r="C20" s="87">
        <f>C18</f>
        <v>5.64</v>
      </c>
      <c r="D20" s="832"/>
      <c r="E20" s="58">
        <f t="shared" si="0"/>
        <v>0</v>
      </c>
    </row>
    <row r="21" spans="1:5">
      <c r="A21" s="23" t="s">
        <v>39</v>
      </c>
      <c r="B21" s="42"/>
      <c r="C21" s="87">
        <f>C18</f>
        <v>5.64</v>
      </c>
      <c r="D21" s="832"/>
      <c r="E21" s="58">
        <f t="shared" si="0"/>
        <v>0</v>
      </c>
    </row>
    <row r="22" spans="1:5">
      <c r="A22" s="99" t="s">
        <v>40</v>
      </c>
      <c r="B22" s="42"/>
      <c r="C22" s="87">
        <f>(IF(B6=1,B4*2+0.2,0))*B10</f>
        <v>34</v>
      </c>
      <c r="D22" s="832"/>
      <c r="E22" s="58">
        <f t="shared" si="0"/>
        <v>0</v>
      </c>
    </row>
    <row r="23" spans="1:5">
      <c r="A23" s="100" t="s">
        <v>41</v>
      </c>
      <c r="B23" s="42"/>
      <c r="C23" s="87">
        <f>(IF(B6=1,IF(B13=0,2,0))*B10)</f>
        <v>20</v>
      </c>
      <c r="D23" s="832"/>
      <c r="E23" s="58">
        <f t="shared" si="0"/>
        <v>0</v>
      </c>
    </row>
    <row r="24" spans="1:5">
      <c r="A24" s="100" t="s">
        <v>581</v>
      </c>
      <c r="B24" s="294"/>
      <c r="C24" s="295">
        <f>(IF(B13=1,IF(B6=1,2,0),0))*B10</f>
        <v>0</v>
      </c>
      <c r="D24" s="832"/>
      <c r="E24" s="58"/>
    </row>
    <row r="25" spans="1:5">
      <c r="A25" s="100" t="s">
        <v>42</v>
      </c>
      <c r="B25" s="42"/>
      <c r="C25" s="87">
        <f>(IF(B9=3,2,0))*B10</f>
        <v>0</v>
      </c>
      <c r="D25" s="832"/>
      <c r="E25" s="58">
        <f t="shared" si="0"/>
        <v>0</v>
      </c>
    </row>
    <row r="26" spans="1:5">
      <c r="A26" s="100" t="s">
        <v>43</v>
      </c>
      <c r="B26" s="42"/>
      <c r="C26" s="87">
        <f>(IF(B6=1,(IF(B7=1,2,0)),0))*B10</f>
        <v>0</v>
      </c>
      <c r="D26" s="832"/>
      <c r="E26" s="58">
        <f t="shared" si="0"/>
        <v>0</v>
      </c>
    </row>
    <row r="27" spans="1:5">
      <c r="A27" s="100" t="s">
        <v>164</v>
      </c>
      <c r="B27" s="128"/>
      <c r="C27" s="129">
        <f>(IF(B6=1,(IF(B7=2,2,0)),0))*B10</f>
        <v>0</v>
      </c>
      <c r="D27" s="832"/>
      <c r="E27" s="58">
        <f t="shared" si="0"/>
        <v>0</v>
      </c>
    </row>
    <row r="28" spans="1:5">
      <c r="A28" s="100" t="s">
        <v>136</v>
      </c>
      <c r="B28" s="294"/>
      <c r="C28" s="295">
        <f>(IF(B6=1,(IF(B7=3,2,0)),0))*B10</f>
        <v>20</v>
      </c>
      <c r="D28" s="832"/>
      <c r="E28" s="58"/>
    </row>
    <row r="29" spans="1:5">
      <c r="A29" s="100" t="s">
        <v>165</v>
      </c>
      <c r="B29" s="128"/>
      <c r="C29" s="129">
        <f>(IF(B6=1,(IF(B7=2,2,0)),0))*B10</f>
        <v>0</v>
      </c>
      <c r="D29" s="832"/>
      <c r="E29" s="58">
        <f t="shared" si="0"/>
        <v>0</v>
      </c>
    </row>
    <row r="30" spans="1:5">
      <c r="A30" s="100" t="s">
        <v>44</v>
      </c>
      <c r="B30" s="42"/>
      <c r="C30" s="87">
        <f>(IF(B9=2,2,0))*B10</f>
        <v>0</v>
      </c>
      <c r="D30" s="832"/>
      <c r="E30" s="58">
        <f t="shared" si="0"/>
        <v>0</v>
      </c>
    </row>
    <row r="31" spans="1:5">
      <c r="A31" s="100" t="s">
        <v>45</v>
      </c>
      <c r="B31" s="42"/>
      <c r="C31" s="87">
        <f>(IF(B9=2,2,0))*B10</f>
        <v>0</v>
      </c>
      <c r="D31" s="832"/>
      <c r="E31" s="58">
        <f t="shared" si="0"/>
        <v>0</v>
      </c>
    </row>
    <row r="32" spans="1:5">
      <c r="A32" s="100" t="s">
        <v>46</v>
      </c>
      <c r="B32" s="42"/>
      <c r="C32" s="87">
        <f>(IF(B8&gt;=1,IF(B7=0,2,0),0)*B10)</f>
        <v>0</v>
      </c>
      <c r="D32" s="832"/>
      <c r="E32" s="58">
        <f t="shared" si="0"/>
        <v>0</v>
      </c>
    </row>
    <row r="33" spans="1:5">
      <c r="A33" s="100" t="s">
        <v>47</v>
      </c>
      <c r="B33" s="42"/>
      <c r="C33" s="295">
        <f>IF(B8=2,IF(B7&gt;0,0,2),0)*B10</f>
        <v>0</v>
      </c>
      <c r="D33" s="832"/>
      <c r="E33" s="58">
        <f t="shared" si="0"/>
        <v>0</v>
      </c>
    </row>
    <row r="34" spans="1:5">
      <c r="A34" s="50" t="s">
        <v>48</v>
      </c>
      <c r="B34" s="122"/>
      <c r="C34" s="123">
        <f>(IF(B8=2,IF(B7=0,0.02,0),0)*B10)</f>
        <v>0</v>
      </c>
      <c r="D34" s="832"/>
      <c r="E34" s="58">
        <f>C34*D34</f>
        <v>0</v>
      </c>
    </row>
    <row r="35" spans="1:5">
      <c r="A35" s="50" t="s">
        <v>231</v>
      </c>
      <c r="B35" s="122"/>
      <c r="C35" s="123">
        <f>B10</f>
        <v>10</v>
      </c>
      <c r="D35" s="832"/>
      <c r="E35" s="58">
        <f>C35*D35</f>
        <v>0</v>
      </c>
    </row>
    <row r="36" spans="1:5">
      <c r="A36" s="23" t="s">
        <v>566</v>
      </c>
      <c r="B36" s="24"/>
      <c r="C36" s="133">
        <f>B10</f>
        <v>10</v>
      </c>
      <c r="D36" s="875"/>
      <c r="E36" s="138">
        <f>D36*C36</f>
        <v>0</v>
      </c>
    </row>
    <row r="37" spans="1:5">
      <c r="A37" s="131" t="s">
        <v>579</v>
      </c>
      <c r="B37" s="125"/>
      <c r="C37" s="134">
        <f>B11</f>
        <v>1</v>
      </c>
      <c r="D37" s="876"/>
      <c r="E37" s="139">
        <f>C37*D37</f>
        <v>0</v>
      </c>
    </row>
    <row r="38" spans="1:5" ht="12" thickBot="1">
      <c r="A38" s="23" t="s">
        <v>569</v>
      </c>
      <c r="B38" s="132"/>
      <c r="C38" s="135">
        <f>B12</f>
        <v>50</v>
      </c>
      <c r="D38" s="877"/>
      <c r="E38" s="140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A1:E1"/>
    <mergeCell ref="A2:E2"/>
    <mergeCell ref="C3:E3"/>
    <mergeCell ref="C4:E4"/>
    <mergeCell ref="C5:E5"/>
    <mergeCell ref="C13:E13"/>
    <mergeCell ref="G3:L4"/>
    <mergeCell ref="C12:E12"/>
    <mergeCell ref="C10:E10"/>
    <mergeCell ref="C9:E9"/>
    <mergeCell ref="C8:E8"/>
    <mergeCell ref="C6:E6"/>
    <mergeCell ref="C7:E7"/>
    <mergeCell ref="C11:E1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1050" t="s">
        <v>695</v>
      </c>
      <c r="B1" s="1051"/>
      <c r="C1" s="1051"/>
      <c r="D1" s="1051"/>
      <c r="E1" s="732"/>
      <c r="F1" s="69"/>
    </row>
    <row r="2" spans="1:9">
      <c r="A2" s="1103" t="s">
        <v>10</v>
      </c>
      <c r="B2" s="1104"/>
      <c r="C2" s="1104"/>
      <c r="D2" s="734"/>
    </row>
    <row r="3" spans="1:9">
      <c r="A3" s="1101" t="s">
        <v>1</v>
      </c>
      <c r="B3" s="1102"/>
      <c r="C3" s="1102"/>
      <c r="D3" s="735"/>
    </row>
    <row r="4" spans="1:9">
      <c r="A4" s="1101" t="s">
        <v>2</v>
      </c>
      <c r="B4" s="1102"/>
      <c r="C4" s="1102"/>
      <c r="D4" s="736"/>
    </row>
    <row r="5" spans="1:9">
      <c r="A5" s="1101" t="s">
        <v>696</v>
      </c>
      <c r="B5" s="1102"/>
      <c r="C5" s="1102"/>
      <c r="D5" s="736"/>
      <c r="I5" s="733"/>
    </row>
    <row r="6" spans="1:9">
      <c r="A6" s="1096" t="s">
        <v>568</v>
      </c>
      <c r="B6" s="1097"/>
      <c r="C6" s="1098"/>
      <c r="D6" s="736"/>
      <c r="I6" s="733"/>
    </row>
    <row r="7" spans="1:9">
      <c r="A7" s="1101" t="s">
        <v>130</v>
      </c>
      <c r="B7" s="1102"/>
      <c r="C7" s="1102"/>
      <c r="D7" s="759"/>
      <c r="I7" s="733"/>
    </row>
    <row r="8" spans="1:9" ht="12" thickBot="1">
      <c r="A8" s="1099" t="s">
        <v>571</v>
      </c>
      <c r="B8" s="1100"/>
      <c r="C8" s="1100"/>
      <c r="D8" s="737"/>
      <c r="I8" s="733"/>
    </row>
    <row r="9" spans="1:9">
      <c r="A9" s="16"/>
      <c r="B9" s="17"/>
      <c r="C9" s="13"/>
      <c r="D9" s="13"/>
      <c r="E9" s="13"/>
      <c r="F9" s="69"/>
      <c r="I9" s="733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39" t="s">
        <v>702</v>
      </c>
      <c r="B13" s="742"/>
      <c r="C13" s="743">
        <f>D4</f>
        <v>0</v>
      </c>
      <c r="D13" s="26">
        <f>C13*B13</f>
        <v>0</v>
      </c>
      <c r="F13" s="69"/>
    </row>
    <row r="14" spans="1:9">
      <c r="A14" s="749" t="s">
        <v>711</v>
      </c>
      <c r="B14" s="740"/>
      <c r="C14" s="121">
        <f>D4</f>
        <v>0</v>
      </c>
      <c r="D14" s="26">
        <f t="shared" ref="D14:D27" si="0">C14*B14</f>
        <v>0</v>
      </c>
      <c r="F14" s="69"/>
    </row>
    <row r="15" spans="1:9">
      <c r="A15" s="739" t="s">
        <v>697</v>
      </c>
      <c r="B15" s="740"/>
      <c r="C15" s="121">
        <f>IF(D2&gt;0,(D2-0.016)*D4,0)</f>
        <v>0</v>
      </c>
      <c r="D15" s="26">
        <f t="shared" si="0"/>
        <v>0</v>
      </c>
      <c r="F15" s="756"/>
    </row>
    <row r="16" spans="1:9">
      <c r="A16" s="739" t="s">
        <v>698</v>
      </c>
      <c r="B16" s="740"/>
      <c r="C16" s="744">
        <f>IF(D2&gt;0,(D2-0.02)*D4,0)</f>
        <v>0</v>
      </c>
      <c r="D16" s="26">
        <f t="shared" si="0"/>
        <v>0</v>
      </c>
      <c r="F16" s="69"/>
    </row>
    <row r="17" spans="1:6">
      <c r="A17" s="741" t="s">
        <v>15</v>
      </c>
      <c r="B17" s="742"/>
      <c r="C17" s="121">
        <f>D4*2</f>
        <v>0</v>
      </c>
      <c r="D17" s="26">
        <f t="shared" si="0"/>
        <v>0</v>
      </c>
      <c r="F17" s="69"/>
    </row>
    <row r="18" spans="1:6">
      <c r="A18" s="739" t="s">
        <v>699</v>
      </c>
      <c r="B18" s="740"/>
      <c r="C18" s="121">
        <f>IF(D3&gt;0,(D3-0.035)*2*D4,0)</f>
        <v>0</v>
      </c>
      <c r="D18" s="26">
        <f t="shared" si="0"/>
        <v>0</v>
      </c>
      <c r="F18" s="69"/>
    </row>
    <row r="19" spans="1:6">
      <c r="A19" s="739" t="s">
        <v>700</v>
      </c>
      <c r="B19" s="740"/>
      <c r="C19" s="121">
        <f>IF(D2&gt;0,(D2-0.022)*D4,0)</f>
        <v>0</v>
      </c>
      <c r="D19" s="26">
        <f t="shared" si="0"/>
        <v>0</v>
      </c>
      <c r="F19" s="69"/>
    </row>
    <row r="20" spans="1:6">
      <c r="A20" s="739" t="s">
        <v>18</v>
      </c>
      <c r="B20" s="740"/>
      <c r="C20" s="121">
        <f>IF(D3&gt;0,(D3-0.035)*2*D4,0)</f>
        <v>0</v>
      </c>
      <c r="D20" s="26">
        <f t="shared" si="0"/>
        <v>0</v>
      </c>
      <c r="F20" s="69"/>
    </row>
    <row r="21" spans="1:6">
      <c r="A21" s="739" t="s">
        <v>19</v>
      </c>
      <c r="B21" s="745"/>
      <c r="C21" s="121">
        <f>IF(D2&gt;0,(D2-0.016)*D4,0)</f>
        <v>0</v>
      </c>
      <c r="D21" s="26">
        <f t="shared" si="0"/>
        <v>0</v>
      </c>
      <c r="F21" s="69"/>
    </row>
    <row r="22" spans="1:6">
      <c r="A22" s="739" t="s">
        <v>20</v>
      </c>
      <c r="B22" s="745"/>
      <c r="C22" s="121">
        <f>IF(D2&gt;0,(D2-0.022)*D4,0)</f>
        <v>0</v>
      </c>
      <c r="D22" s="26">
        <f t="shared" si="0"/>
        <v>0</v>
      </c>
      <c r="F22" s="69"/>
    </row>
    <row r="23" spans="1:6">
      <c r="A23" s="739" t="s">
        <v>701</v>
      </c>
      <c r="B23" s="740"/>
      <c r="C23" s="121">
        <f>IF(D2&gt;0,(D2-0.022)*D4,0)</f>
        <v>0</v>
      </c>
      <c r="D23" s="26">
        <f t="shared" si="0"/>
        <v>0</v>
      </c>
      <c r="F23" s="69"/>
    </row>
    <row r="24" spans="1:6">
      <c r="A24" s="739" t="s">
        <v>566</v>
      </c>
      <c r="B24" s="746"/>
      <c r="C24" s="747">
        <f>D4</f>
        <v>0</v>
      </c>
      <c r="D24" s="748">
        <f t="shared" si="0"/>
        <v>0</v>
      </c>
      <c r="F24" s="69"/>
    </row>
    <row r="25" spans="1:6">
      <c r="A25" s="739" t="s">
        <v>570</v>
      </c>
      <c r="B25" s="746"/>
      <c r="C25" s="747">
        <f>D8</f>
        <v>0</v>
      </c>
      <c r="D25" s="748">
        <f t="shared" si="0"/>
        <v>0</v>
      </c>
      <c r="F25" s="69"/>
    </row>
    <row r="26" spans="1:6">
      <c r="A26" s="739" t="s">
        <v>569</v>
      </c>
      <c r="B26" s="746"/>
      <c r="C26" s="747">
        <f>D7</f>
        <v>0</v>
      </c>
      <c r="D26" s="748">
        <f t="shared" si="0"/>
        <v>0</v>
      </c>
      <c r="F26" s="69"/>
    </row>
    <row r="27" spans="1:6" ht="12" thickBot="1">
      <c r="A27" s="751" t="s">
        <v>567</v>
      </c>
      <c r="B27" s="752"/>
      <c r="C27" s="33">
        <f>D6</f>
        <v>0</v>
      </c>
      <c r="D27" s="34">
        <f t="shared" si="0"/>
        <v>0</v>
      </c>
      <c r="F27" s="69"/>
    </row>
    <row r="28" spans="1:6" ht="12" thickBot="1">
      <c r="A28" s="753" t="s">
        <v>703</v>
      </c>
      <c r="B28" s="861"/>
      <c r="C28" s="13"/>
      <c r="D28" s="757">
        <f>SUM(D12:D27)</f>
        <v>0</v>
      </c>
      <c r="E28" s="13"/>
      <c r="F28" s="69"/>
    </row>
    <row r="29" spans="1:6" ht="12" thickBot="1">
      <c r="A29" s="16"/>
      <c r="B29" s="861"/>
      <c r="C29" s="13"/>
      <c r="D29" s="13"/>
      <c r="E29" s="13"/>
      <c r="F29" s="69"/>
    </row>
    <row r="30" spans="1:6">
      <c r="A30" s="36" t="s">
        <v>35</v>
      </c>
      <c r="B30" s="863"/>
      <c r="C30" s="21"/>
      <c r="D30" s="101"/>
      <c r="F30" s="69"/>
    </row>
    <row r="31" spans="1:6">
      <c r="A31" s="739" t="s">
        <v>704</v>
      </c>
      <c r="B31" s="740"/>
      <c r="C31" s="121">
        <f>IF(D5="Нет",D4,0)</f>
        <v>0</v>
      </c>
      <c r="D31" s="26">
        <f t="shared" ref="D31:D33" si="1">C31*B31</f>
        <v>0</v>
      </c>
      <c r="F31" s="69"/>
    </row>
    <row r="32" spans="1:6">
      <c r="A32" s="739" t="s">
        <v>705</v>
      </c>
      <c r="B32" s="740"/>
      <c r="C32" s="744">
        <f>IF(AND(D5="Нет",D2&gt;0),D4*(D2-0.02),0)</f>
        <v>0</v>
      </c>
      <c r="D32" s="26">
        <f t="shared" si="1"/>
        <v>0</v>
      </c>
      <c r="F32" s="69"/>
    </row>
    <row r="33" spans="1:6" ht="12" thickBot="1">
      <c r="A33" s="751" t="s">
        <v>25</v>
      </c>
      <c r="B33" s="752"/>
      <c r="C33" s="755">
        <f>IF(AND(D2&gt;0,D5="Нет"),((D2-0.02)+0.1)*D4,0)</f>
        <v>0</v>
      </c>
      <c r="D33" s="34">
        <f t="shared" si="1"/>
        <v>0</v>
      </c>
      <c r="F33" s="69"/>
    </row>
    <row r="34" spans="1:6" ht="12" thickBot="1">
      <c r="A34" s="753" t="s">
        <v>703</v>
      </c>
      <c r="B34" s="861"/>
      <c r="C34" s="13"/>
      <c r="D34" s="754">
        <f>SUM(D31:D33)</f>
        <v>0</v>
      </c>
      <c r="E34" s="13"/>
      <c r="F34" s="69"/>
    </row>
    <row r="35" spans="1:6">
      <c r="A35" s="40"/>
      <c r="B35" s="861"/>
      <c r="C35" s="13"/>
      <c r="D35" s="13"/>
      <c r="E35" s="13"/>
      <c r="F35" s="69"/>
    </row>
    <row r="36" spans="1:6">
      <c r="A36" s="18" t="s">
        <v>706</v>
      </c>
      <c r="B36" s="861"/>
      <c r="C36" s="13"/>
      <c r="D36" s="13"/>
      <c r="E36" s="13"/>
      <c r="F36" s="69"/>
    </row>
    <row r="37" spans="1:6" ht="12" thickBot="1">
      <c r="A37" s="18"/>
      <c r="B37" s="861"/>
      <c r="C37" s="13"/>
      <c r="D37" s="13"/>
      <c r="E37" s="13"/>
      <c r="F37" s="69"/>
    </row>
    <row r="38" spans="1:6" ht="12" thickBot="1">
      <c r="A38" s="760" t="s">
        <v>712</v>
      </c>
      <c r="B38" s="761"/>
      <c r="C38" s="762">
        <f>D4</f>
        <v>0</v>
      </c>
      <c r="D38" s="763">
        <f>C38*B38</f>
        <v>0</v>
      </c>
    </row>
    <row r="39" spans="1:6" ht="12" thickBot="1">
      <c r="A39" s="753" t="s">
        <v>703</v>
      </c>
      <c r="B39" s="13"/>
      <c r="C39" s="13"/>
      <c r="D39" s="754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1050" t="s">
        <v>713</v>
      </c>
      <c r="B1" s="1051"/>
      <c r="C1" s="1051"/>
      <c r="D1" s="1051"/>
      <c r="E1" s="732"/>
      <c r="F1" s="69"/>
    </row>
    <row r="2" spans="1:9">
      <c r="A2" s="1103" t="s">
        <v>10</v>
      </c>
      <c r="B2" s="1104"/>
      <c r="C2" s="1104"/>
      <c r="D2" s="734"/>
    </row>
    <row r="3" spans="1:9">
      <c r="A3" s="1101" t="s">
        <v>1</v>
      </c>
      <c r="B3" s="1102"/>
      <c r="C3" s="1102"/>
      <c r="D3" s="735"/>
    </row>
    <row r="4" spans="1:9">
      <c r="A4" s="1101" t="s">
        <v>2</v>
      </c>
      <c r="B4" s="1102"/>
      <c r="C4" s="1102"/>
      <c r="D4" s="736"/>
    </row>
    <row r="5" spans="1:9">
      <c r="A5" s="1101" t="s">
        <v>696</v>
      </c>
      <c r="B5" s="1102"/>
      <c r="C5" s="1102"/>
      <c r="D5" s="736"/>
    </row>
    <row r="6" spans="1:9">
      <c r="A6" s="1096" t="s">
        <v>568</v>
      </c>
      <c r="B6" s="1097"/>
      <c r="C6" s="1098"/>
      <c r="D6" s="736"/>
      <c r="I6" s="733" t="s">
        <v>707</v>
      </c>
    </row>
    <row r="7" spans="1:9">
      <c r="A7" s="1101" t="s">
        <v>130</v>
      </c>
      <c r="B7" s="1102"/>
      <c r="C7" s="1102"/>
      <c r="D7" s="759"/>
      <c r="I7" s="733" t="s">
        <v>708</v>
      </c>
    </row>
    <row r="8" spans="1:9" ht="12" thickBot="1">
      <c r="A8" s="1099" t="s">
        <v>571</v>
      </c>
      <c r="B8" s="1100"/>
      <c r="C8" s="1100"/>
      <c r="D8" s="737"/>
      <c r="I8" s="733"/>
    </row>
    <row r="9" spans="1:9">
      <c r="A9" s="16"/>
      <c r="B9" s="17"/>
      <c r="C9" s="13"/>
      <c r="D9" s="13"/>
      <c r="E9" s="13"/>
      <c r="F9" s="69"/>
      <c r="I9" s="733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49" t="s">
        <v>711</v>
      </c>
      <c r="B13" s="740"/>
      <c r="C13" s="121">
        <f>D4</f>
        <v>0</v>
      </c>
      <c r="D13" s="26">
        <f t="shared" ref="D13:D28" si="0">C13*B13</f>
        <v>0</v>
      </c>
      <c r="F13" s="69"/>
    </row>
    <row r="14" spans="1:9">
      <c r="A14" s="739" t="s">
        <v>697</v>
      </c>
      <c r="B14" s="740"/>
      <c r="C14" s="121">
        <f>IF(D2&gt;0,(D2-0.016)*D4,0)</f>
        <v>0</v>
      </c>
      <c r="D14" s="26">
        <f t="shared" si="0"/>
        <v>0</v>
      </c>
      <c r="F14" s="756"/>
    </row>
    <row r="15" spans="1:9">
      <c r="A15" s="739" t="s">
        <v>698</v>
      </c>
      <c r="B15" s="740"/>
      <c r="C15" s="744">
        <f>IF(D2&gt;0,(D2-0.02)*D4,0)</f>
        <v>0</v>
      </c>
      <c r="D15" s="26">
        <f t="shared" si="0"/>
        <v>0</v>
      </c>
      <c r="F15" s="69"/>
    </row>
    <row r="16" spans="1:9">
      <c r="A16" s="741" t="s">
        <v>15</v>
      </c>
      <c r="B16" s="742"/>
      <c r="C16" s="121">
        <f>D4*2</f>
        <v>0</v>
      </c>
      <c r="D16" s="26">
        <f t="shared" si="0"/>
        <v>0</v>
      </c>
      <c r="F16" s="69"/>
    </row>
    <row r="17" spans="1:6">
      <c r="A17" s="739" t="s">
        <v>714</v>
      </c>
      <c r="B17" s="740"/>
      <c r="C17" s="744">
        <f>IF(D3&gt;0,(D3-0.035)*2*D4,0)</f>
        <v>0</v>
      </c>
      <c r="D17" s="26">
        <f t="shared" si="0"/>
        <v>0</v>
      </c>
      <c r="F17" s="69"/>
    </row>
    <row r="18" spans="1:6">
      <c r="A18" s="739" t="s">
        <v>700</v>
      </c>
      <c r="B18" s="740"/>
      <c r="C18" s="744">
        <f>IF(D2&gt;0,(D2-0.022)*D4,0)</f>
        <v>0</v>
      </c>
      <c r="D18" s="26">
        <f t="shared" si="0"/>
        <v>0</v>
      </c>
      <c r="F18" s="69"/>
    </row>
    <row r="19" spans="1:6">
      <c r="A19" s="739" t="s">
        <v>18</v>
      </c>
      <c r="B19" s="740"/>
      <c r="C19" s="744">
        <f>IF(D3&gt;0,(D3-0.035)*2*D4,0)</f>
        <v>0</v>
      </c>
      <c r="D19" s="26">
        <f t="shared" si="0"/>
        <v>0</v>
      </c>
      <c r="F19" s="69"/>
    </row>
    <row r="20" spans="1:6">
      <c r="A20" s="739" t="s">
        <v>19</v>
      </c>
      <c r="B20" s="745"/>
      <c r="C20" s="744">
        <f>IF(D2&gt;0,(D2-0.016)*D4,0)</f>
        <v>0</v>
      </c>
      <c r="D20" s="26">
        <f t="shared" si="0"/>
        <v>0</v>
      </c>
      <c r="F20" s="69"/>
    </row>
    <row r="21" spans="1:6">
      <c r="A21" s="739" t="s">
        <v>20</v>
      </c>
      <c r="B21" s="745"/>
      <c r="C21" s="744">
        <f>IF(D2&gt;0,(D2-0.022)*D4,0)</f>
        <v>0</v>
      </c>
      <c r="D21" s="26">
        <f t="shared" si="0"/>
        <v>0</v>
      </c>
      <c r="F21" s="69"/>
    </row>
    <row r="22" spans="1:6">
      <c r="A22" s="739" t="s">
        <v>715</v>
      </c>
      <c r="B22" s="746"/>
      <c r="C22" s="747">
        <f>D4</f>
        <v>0</v>
      </c>
      <c r="D22" s="748">
        <f t="shared" si="0"/>
        <v>0</v>
      </c>
      <c r="F22" s="69"/>
    </row>
    <row r="23" spans="1:6">
      <c r="A23" s="739" t="s">
        <v>716</v>
      </c>
      <c r="B23" s="746"/>
      <c r="C23" s="747">
        <f>D4</f>
        <v>0</v>
      </c>
      <c r="D23" s="748">
        <f t="shared" si="0"/>
        <v>0</v>
      </c>
      <c r="F23" s="69"/>
    </row>
    <row r="24" spans="1:6">
      <c r="A24" s="739" t="s">
        <v>717</v>
      </c>
      <c r="B24" s="746"/>
      <c r="C24" s="764">
        <f>IF(D2&gt;0,(D2-0.02)*D4,0)</f>
        <v>0</v>
      </c>
      <c r="D24" s="748">
        <f t="shared" si="0"/>
        <v>0</v>
      </c>
      <c r="F24" s="69"/>
    </row>
    <row r="25" spans="1:6">
      <c r="A25" s="739" t="s">
        <v>566</v>
      </c>
      <c r="B25" s="746"/>
      <c r="C25" s="764">
        <f>D4</f>
        <v>0</v>
      </c>
      <c r="D25" s="748">
        <f t="shared" si="0"/>
        <v>0</v>
      </c>
      <c r="F25" s="69"/>
    </row>
    <row r="26" spans="1:6">
      <c r="A26" s="739" t="s">
        <v>570</v>
      </c>
      <c r="B26" s="746"/>
      <c r="C26" s="764">
        <f>D8</f>
        <v>0</v>
      </c>
      <c r="D26" s="748">
        <f t="shared" si="0"/>
        <v>0</v>
      </c>
      <c r="F26" s="69"/>
    </row>
    <row r="27" spans="1:6">
      <c r="A27" s="739" t="s">
        <v>569</v>
      </c>
      <c r="B27" s="746"/>
      <c r="C27" s="764">
        <f>D7</f>
        <v>0</v>
      </c>
      <c r="D27" s="748">
        <f t="shared" si="0"/>
        <v>0</v>
      </c>
      <c r="F27" s="69"/>
    </row>
    <row r="28" spans="1:6" ht="12" thickBot="1">
      <c r="A28" s="751" t="s">
        <v>567</v>
      </c>
      <c r="B28" s="752"/>
      <c r="C28" s="755">
        <f>D6</f>
        <v>0</v>
      </c>
      <c r="D28" s="34">
        <f t="shared" si="0"/>
        <v>0</v>
      </c>
      <c r="F28" s="69"/>
    </row>
    <row r="29" spans="1:6" ht="12" thickBot="1">
      <c r="A29" s="753" t="s">
        <v>703</v>
      </c>
      <c r="B29" s="861"/>
      <c r="C29" s="13"/>
      <c r="D29" s="757"/>
      <c r="E29" s="13"/>
      <c r="F29" s="69"/>
    </row>
    <row r="30" spans="1:6" ht="12" thickBot="1">
      <c r="A30" s="16"/>
      <c r="B30" s="861"/>
      <c r="C30" s="13"/>
      <c r="D30" s="13"/>
      <c r="E30" s="13"/>
      <c r="F30" s="69"/>
    </row>
    <row r="31" spans="1:6">
      <c r="A31" s="36" t="s">
        <v>35</v>
      </c>
      <c r="B31" s="863"/>
      <c r="C31" s="21"/>
      <c r="D31" s="101"/>
      <c r="F31" s="69"/>
    </row>
    <row r="32" spans="1:6" ht="12" thickBot="1">
      <c r="A32" s="751" t="s">
        <v>25</v>
      </c>
      <c r="B32" s="752"/>
      <c r="C32" s="755">
        <f>IF(AND(D2&gt;0,D6="Нет"),((D2-0.02)+0.1)*D4,0)</f>
        <v>0</v>
      </c>
      <c r="D32" s="34">
        <f t="shared" ref="D32" si="1">C32*B32</f>
        <v>0</v>
      </c>
      <c r="F32" s="69"/>
    </row>
    <row r="33" spans="1:6" ht="12" thickBot="1">
      <c r="A33" s="753" t="s">
        <v>703</v>
      </c>
      <c r="B33" s="861"/>
      <c r="C33" s="13"/>
      <c r="D33" s="754"/>
      <c r="E33" s="13"/>
      <c r="F33" s="69"/>
    </row>
    <row r="34" spans="1:6">
      <c r="A34" s="40"/>
      <c r="B34" s="861"/>
      <c r="C34" s="13"/>
      <c r="D34" s="13"/>
      <c r="E34" s="13"/>
      <c r="F34" s="69"/>
    </row>
    <row r="35" spans="1:6">
      <c r="A35" s="18" t="s">
        <v>706</v>
      </c>
      <c r="B35" s="861"/>
      <c r="C35" s="13"/>
      <c r="D35" s="13"/>
      <c r="E35" s="13"/>
      <c r="F35" s="69"/>
    </row>
    <row r="36" spans="1:6" ht="12" thickBot="1">
      <c r="A36" s="18"/>
      <c r="B36" s="861"/>
      <c r="C36" s="13"/>
      <c r="D36" s="13"/>
      <c r="E36" s="13"/>
      <c r="F36" s="69"/>
    </row>
    <row r="37" spans="1:6" ht="12" thickBot="1">
      <c r="A37" s="760" t="s">
        <v>712</v>
      </c>
      <c r="B37" s="761"/>
      <c r="C37" s="762">
        <f>IF(D8="Да",D4,0)</f>
        <v>0</v>
      </c>
      <c r="D37" s="763">
        <f>C37*B37</f>
        <v>0</v>
      </c>
      <c r="E37" s="69"/>
    </row>
    <row r="38" spans="1:6" ht="12" thickBot="1">
      <c r="A38" s="753" t="s">
        <v>703</v>
      </c>
      <c r="B38" s="13"/>
      <c r="C38" s="13"/>
      <c r="D38" s="757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1050" t="s">
        <v>718</v>
      </c>
      <c r="B1" s="1051"/>
      <c r="C1" s="1051"/>
      <c r="D1" s="1051"/>
      <c r="E1" s="732"/>
      <c r="F1" s="69"/>
    </row>
    <row r="2" spans="1:9">
      <c r="A2" s="1103" t="s">
        <v>10</v>
      </c>
      <c r="B2" s="1104"/>
      <c r="C2" s="1104"/>
      <c r="D2" s="734"/>
    </row>
    <row r="3" spans="1:9">
      <c r="A3" s="1101" t="s">
        <v>1</v>
      </c>
      <c r="B3" s="1102"/>
      <c r="C3" s="1102"/>
      <c r="D3" s="735"/>
    </row>
    <row r="4" spans="1:9">
      <c r="A4" s="1101" t="s">
        <v>2</v>
      </c>
      <c r="B4" s="1102"/>
      <c r="C4" s="1102"/>
      <c r="D4" s="736"/>
    </row>
    <row r="5" spans="1:9">
      <c r="A5" s="1101" t="s">
        <v>696</v>
      </c>
      <c r="B5" s="1102"/>
      <c r="C5" s="1102"/>
      <c r="D5" s="736"/>
      <c r="I5" s="733" t="s">
        <v>707</v>
      </c>
    </row>
    <row r="6" spans="1:9">
      <c r="A6" s="1096" t="s">
        <v>568</v>
      </c>
      <c r="B6" s="1097"/>
      <c r="C6" s="1098"/>
      <c r="D6" s="736"/>
      <c r="I6" s="733" t="s">
        <v>708</v>
      </c>
    </row>
    <row r="7" spans="1:9">
      <c r="A7" s="1101" t="s">
        <v>130</v>
      </c>
      <c r="B7" s="1102"/>
      <c r="C7" s="1102"/>
      <c r="D7" s="759"/>
      <c r="I7" s="733"/>
    </row>
    <row r="8" spans="1:9" ht="12" thickBot="1">
      <c r="A8" s="1099" t="s">
        <v>571</v>
      </c>
      <c r="B8" s="1100"/>
      <c r="C8" s="1100"/>
      <c r="D8" s="737"/>
      <c r="E8" s="13"/>
      <c r="F8" s="69"/>
      <c r="I8" s="733" t="s">
        <v>709</v>
      </c>
    </row>
    <row r="9" spans="1:9">
      <c r="A9" s="765"/>
      <c r="B9" s="766"/>
      <c r="C9" s="766"/>
      <c r="D9" s="767"/>
      <c r="E9" s="13"/>
      <c r="F9" s="69"/>
      <c r="I9" s="733"/>
    </row>
    <row r="10" spans="1:9" ht="12" thickBot="1">
      <c r="A10" s="18" t="s">
        <v>11</v>
      </c>
      <c r="B10" s="19"/>
      <c r="C10" s="19"/>
      <c r="D10" s="19"/>
      <c r="E10" s="13"/>
      <c r="F10" s="69"/>
      <c r="I10" s="733" t="s">
        <v>710</v>
      </c>
    </row>
    <row r="11" spans="1:9">
      <c r="A11" s="20"/>
      <c r="B11" s="22" t="s">
        <v>4</v>
      </c>
      <c r="C11" s="22" t="s">
        <v>13</v>
      </c>
      <c r="D11" s="738" t="s">
        <v>8</v>
      </c>
      <c r="F11" s="69"/>
    </row>
    <row r="12" spans="1:9">
      <c r="A12" s="739" t="s">
        <v>104</v>
      </c>
      <c r="B12" s="740">
        <v>9</v>
      </c>
      <c r="C12" s="121">
        <f>4*D4</f>
        <v>0</v>
      </c>
      <c r="D12" s="26">
        <f>C12*B12</f>
        <v>0</v>
      </c>
      <c r="F12" s="69"/>
    </row>
    <row r="13" spans="1:9">
      <c r="A13" s="749" t="s">
        <v>711</v>
      </c>
      <c r="B13" s="740"/>
      <c r="C13" s="121">
        <f>D4</f>
        <v>0</v>
      </c>
      <c r="D13" s="26">
        <f t="shared" ref="D13:D25" si="0">C13*B13</f>
        <v>0</v>
      </c>
      <c r="F13" s="69"/>
    </row>
    <row r="14" spans="1:9">
      <c r="A14" s="739" t="s">
        <v>697</v>
      </c>
      <c r="B14" s="740"/>
      <c r="C14" s="121">
        <f>IF(D2&gt;0,(D2-0.016)*D4,0)</f>
        <v>0</v>
      </c>
      <c r="D14" s="26">
        <f t="shared" si="0"/>
        <v>0</v>
      </c>
      <c r="F14" s="756"/>
    </row>
    <row r="15" spans="1:9">
      <c r="A15" s="739" t="s">
        <v>698</v>
      </c>
      <c r="B15" s="740"/>
      <c r="C15" s="744">
        <f>IF(D2&gt;0,(D2-0.02)*D4,0)</f>
        <v>0</v>
      </c>
      <c r="D15" s="26">
        <f t="shared" si="0"/>
        <v>0</v>
      </c>
      <c r="F15" s="69"/>
    </row>
    <row r="16" spans="1:9">
      <c r="A16" s="739" t="s">
        <v>699</v>
      </c>
      <c r="B16" s="740"/>
      <c r="C16" s="121">
        <f>IF(D3&gt;0,(D3-0.035)*2*D4,0)</f>
        <v>0</v>
      </c>
      <c r="D16" s="26">
        <f t="shared" si="0"/>
        <v>0</v>
      </c>
      <c r="F16" s="69"/>
    </row>
    <row r="17" spans="1:6">
      <c r="A17" s="739" t="s">
        <v>719</v>
      </c>
      <c r="B17" s="740"/>
      <c r="C17" s="121">
        <f>IF(D2&gt;0,(D2-0.022)*D4,0)</f>
        <v>0</v>
      </c>
      <c r="D17" s="26">
        <f t="shared" si="0"/>
        <v>0</v>
      </c>
      <c r="F17" s="69"/>
    </row>
    <row r="18" spans="1:6">
      <c r="A18" s="739" t="s">
        <v>18</v>
      </c>
      <c r="B18" s="740"/>
      <c r="C18" s="121">
        <f>IF(D3&gt;0,(D3-0.035)*2*D4,0)</f>
        <v>0</v>
      </c>
      <c r="D18" s="26">
        <f t="shared" si="0"/>
        <v>0</v>
      </c>
      <c r="F18" s="69"/>
    </row>
    <row r="19" spans="1:6">
      <c r="A19" s="739" t="s">
        <v>19</v>
      </c>
      <c r="B19" s="745"/>
      <c r="C19" s="121">
        <f>IF(D2&gt;0,(D2-0.016)*D4,0)</f>
        <v>0</v>
      </c>
      <c r="D19" s="26">
        <f t="shared" si="0"/>
        <v>0</v>
      </c>
      <c r="F19" s="69"/>
    </row>
    <row r="20" spans="1:6">
      <c r="A20" s="739" t="s">
        <v>20</v>
      </c>
      <c r="B20" s="745"/>
      <c r="C20" s="121">
        <f>IF(D2&gt;0,(D2-0.022)*D4,0)</f>
        <v>0</v>
      </c>
      <c r="D20" s="26">
        <f t="shared" si="0"/>
        <v>0</v>
      </c>
      <c r="F20" s="69"/>
    </row>
    <row r="21" spans="1:6">
      <c r="A21" s="750" t="s">
        <v>702</v>
      </c>
      <c r="B21" s="746"/>
      <c r="C21" s="747">
        <f>D4</f>
        <v>0</v>
      </c>
      <c r="D21" s="748">
        <f t="shared" si="0"/>
        <v>0</v>
      </c>
      <c r="F21" s="69"/>
    </row>
    <row r="22" spans="1:6">
      <c r="A22" s="739" t="s">
        <v>566</v>
      </c>
      <c r="B22" s="746"/>
      <c r="C22" s="747">
        <f>D4</f>
        <v>0</v>
      </c>
      <c r="D22" s="748">
        <f t="shared" si="0"/>
        <v>0</v>
      </c>
      <c r="F22" s="69"/>
    </row>
    <row r="23" spans="1:6">
      <c r="A23" s="739" t="s">
        <v>570</v>
      </c>
      <c r="B23" s="746"/>
      <c r="C23" s="747">
        <f>D8</f>
        <v>0</v>
      </c>
      <c r="D23" s="748">
        <f t="shared" si="0"/>
        <v>0</v>
      </c>
      <c r="F23" s="69"/>
    </row>
    <row r="24" spans="1:6">
      <c r="A24" s="739" t="s">
        <v>569</v>
      </c>
      <c r="B24" s="746"/>
      <c r="C24" s="747">
        <f>D7</f>
        <v>0</v>
      </c>
      <c r="D24" s="748">
        <f t="shared" si="0"/>
        <v>0</v>
      </c>
      <c r="F24" s="69"/>
    </row>
    <row r="25" spans="1:6" ht="12" thickBot="1">
      <c r="A25" s="751" t="s">
        <v>567</v>
      </c>
      <c r="B25" s="752"/>
      <c r="C25" s="33">
        <f>D6</f>
        <v>0</v>
      </c>
      <c r="D25" s="34">
        <f t="shared" si="0"/>
        <v>0</v>
      </c>
      <c r="F25" s="69"/>
    </row>
    <row r="26" spans="1:6" ht="12" thickBot="1">
      <c r="A26" s="753" t="s">
        <v>703</v>
      </c>
      <c r="B26" s="861"/>
      <c r="C26" s="13"/>
      <c r="D26" s="754"/>
      <c r="E26" s="13"/>
      <c r="F26" s="69"/>
    </row>
    <row r="27" spans="1:6" ht="12" thickBot="1">
      <c r="A27" s="16"/>
      <c r="B27" s="861"/>
      <c r="C27" s="13"/>
      <c r="D27" s="13"/>
      <c r="E27" s="13"/>
      <c r="F27" s="69"/>
    </row>
    <row r="28" spans="1:6">
      <c r="A28" s="36" t="s">
        <v>35</v>
      </c>
      <c r="B28" s="863"/>
      <c r="C28" s="21"/>
      <c r="D28" s="101"/>
      <c r="F28" s="69"/>
    </row>
    <row r="29" spans="1:6">
      <c r="A29" s="739" t="s">
        <v>704</v>
      </c>
      <c r="B29" s="740"/>
      <c r="C29" s="121">
        <f>IF(D5="Нет",D4,0)</f>
        <v>0</v>
      </c>
      <c r="D29" s="26">
        <f t="shared" ref="D29:D31" si="1">C29*B29</f>
        <v>0</v>
      </c>
      <c r="F29" s="69"/>
    </row>
    <row r="30" spans="1:6">
      <c r="A30" s="739" t="s">
        <v>705</v>
      </c>
      <c r="B30" s="740"/>
      <c r="C30" s="744">
        <f>IF(AND(D5="Нет",D2&gt;0),D4*(D2-0.02),0)</f>
        <v>0</v>
      </c>
      <c r="D30" s="26">
        <f t="shared" si="1"/>
        <v>0</v>
      </c>
      <c r="F30" s="69"/>
    </row>
    <row r="31" spans="1:6" ht="12" thickBot="1">
      <c r="A31" s="751" t="s">
        <v>25</v>
      </c>
      <c r="B31" s="752"/>
      <c r="C31" s="755">
        <f>IF(AND(D2&gt;0,D5="Нет"),((D2-0.02)+0.1)*D4,0)</f>
        <v>0</v>
      </c>
      <c r="D31" s="34">
        <f t="shared" si="1"/>
        <v>0</v>
      </c>
      <c r="F31" s="69"/>
    </row>
    <row r="32" spans="1:6" ht="12" thickBot="1">
      <c r="A32" s="753" t="s">
        <v>703</v>
      </c>
      <c r="B32" s="861"/>
      <c r="C32" s="13"/>
      <c r="D32" s="754"/>
      <c r="E32" s="13"/>
      <c r="F32" s="69"/>
    </row>
    <row r="33" spans="1:6">
      <c r="A33" s="40"/>
      <c r="B33" s="861"/>
      <c r="C33" s="13"/>
      <c r="D33" s="13"/>
      <c r="E33" s="13"/>
      <c r="F33" s="69"/>
    </row>
    <row r="34" spans="1:6">
      <c r="A34" s="18" t="s">
        <v>706</v>
      </c>
      <c r="B34" s="861"/>
      <c r="C34" s="13"/>
      <c r="D34" s="13"/>
      <c r="E34" s="13"/>
      <c r="F34" s="69"/>
    </row>
    <row r="35" spans="1:6" ht="12" thickBot="1">
      <c r="A35" s="18"/>
      <c r="B35" s="861"/>
      <c r="C35" s="13"/>
      <c r="D35" s="13"/>
      <c r="E35" s="13"/>
      <c r="F35" s="69"/>
    </row>
    <row r="36" spans="1:6" ht="12" thickBot="1">
      <c r="A36" s="760" t="s">
        <v>712</v>
      </c>
      <c r="B36" s="761"/>
      <c r="C36" s="762">
        <f>D4</f>
        <v>0</v>
      </c>
      <c r="D36" s="763">
        <f>C36*B36</f>
        <v>0</v>
      </c>
    </row>
    <row r="37" spans="1:6" ht="12" thickBot="1">
      <c r="A37" s="753" t="s">
        <v>703</v>
      </c>
      <c r="B37" s="13"/>
      <c r="C37" s="13"/>
      <c r="D37" s="754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54</vt:i4>
      </vt:variant>
    </vt:vector>
  </HeadingPairs>
  <TitlesOfParts>
    <vt:vector size="54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  <vt:lpstr>Зебра АМГ L</vt:lpstr>
      <vt:lpstr>Зебра кассета АМГ L</vt:lpstr>
      <vt:lpstr>Зебра кассета Double АМГ L </vt:lpstr>
      <vt:lpstr>Зебра кассета MONO АМГ L </vt:lpstr>
      <vt:lpstr>Кассета АМГ L</vt:lpstr>
      <vt:lpstr>Кассета Double АМГ L</vt:lpstr>
      <vt:lpstr>Кассета MONO АМГ L </vt:lpstr>
      <vt:lpstr>Классика АМГ 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Сергей Голубев</cp:lastModifiedBy>
  <cp:lastPrinted>2013-03-22T05:23:42Z</cp:lastPrinted>
  <dcterms:created xsi:type="dcterms:W3CDTF">2005-05-23T08:47:17Z</dcterms:created>
  <dcterms:modified xsi:type="dcterms:W3CDTF">2025-06-05T08:16:55Z</dcterms:modified>
</cp:coreProperties>
</file>